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gypt\Downloads\"/>
    </mc:Choice>
  </mc:AlternateContent>
  <xr:revisionPtr revIDLastSave="0" documentId="8_{98761F95-8DFC-4C34-B9E0-D63B980659C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إدخال البيانات" sheetId="10" r:id="rId1"/>
    <sheet name="تقرير المبيعات" sheetId="11" r:id="rId2"/>
    <sheet name="التنبؤ بالمبيعات" sheetId="12" r:id="rId3"/>
  </sheets>
  <definedNames>
    <definedName name="fDate">'التنبؤ بالمبيعات'!$D$3</definedName>
    <definedName name="fDay">'التنبؤ بالمبيعات'!$H$2</definedName>
    <definedName name="fMonth">'التنبؤ بالمبيعات'!$G$2</definedName>
    <definedName name="ForecastDate">'التنبؤ بالمبيعات'!$D$3</definedName>
    <definedName name="fYear">'التنبؤ بالمبيعات'!$I$2</definedName>
    <definedName name="PN">#REF!</definedName>
    <definedName name="PN_Description">#REF!</definedName>
    <definedName name="_xlnm.Print_Area" localSheetId="2">'التنبؤ بالمبيعات'!$B$2:$J$43</definedName>
    <definedName name="_xlnm.Print_Titles" localSheetId="1">'تقرير المبيعات'!$B:$D,'تقرير المبيعات'!$5:$5</definedName>
    <definedName name="PT_EndRow">COUNTA(#REF!)+PT_StartRow-3</definedName>
    <definedName name="PT_StartRow">ROW(INDEX(#REF!,MATCH("*",#REF!,0),1))+1</definedName>
    <definedName name="RowTitleRegion1..J3">#REF!</definedName>
    <definedName name="RowTitleRegion2..M3">#REF!</definedName>
    <definedName name="العنوان_1">#REF!</definedName>
    <definedName name="مقسم_طريقة_العرض_اسم_المنتج">#REF!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2" l="1"/>
  <c r="D3" i="12" s="1"/>
  <c r="J1" i="10"/>
  <c r="B6" i="10"/>
  <c r="G6" i="10"/>
  <c r="H6" i="10"/>
  <c r="I6" i="10" s="1"/>
  <c r="J6" i="10"/>
  <c r="K6" i="10"/>
  <c r="L6" i="10"/>
  <c r="O6" i="10" s="1"/>
  <c r="B7" i="10"/>
  <c r="N6" i="10" s="1"/>
  <c r="G7" i="10"/>
  <c r="H7" i="10"/>
  <c r="I7" i="10" s="1"/>
  <c r="J7" i="10"/>
  <c r="K7" i="10"/>
  <c r="L7" i="10"/>
  <c r="B8" i="10"/>
  <c r="N7" i="10" s="1"/>
  <c r="G8" i="10"/>
  <c r="H8" i="10"/>
  <c r="I8" i="10" s="1"/>
  <c r="J8" i="10"/>
  <c r="K8" i="10"/>
  <c r="L8" i="10"/>
  <c r="B9" i="10"/>
  <c r="N8" i="10" s="1"/>
  <c r="G9" i="10"/>
  <c r="H9" i="10"/>
  <c r="I9" i="10" s="1"/>
  <c r="J9" i="10"/>
  <c r="K9" i="10"/>
  <c r="L9" i="10"/>
  <c r="B10" i="10"/>
  <c r="N9" i="10" s="1"/>
  <c r="G10" i="10"/>
  <c r="H10" i="10"/>
  <c r="I10" i="10" s="1"/>
  <c r="J10" i="10"/>
  <c r="K10" i="10"/>
  <c r="L10" i="10"/>
  <c r="B11" i="10"/>
  <c r="N10" i="10" s="1"/>
  <c r="G11" i="10"/>
  <c r="H11" i="10"/>
  <c r="I11" i="10" s="1"/>
  <c r="J11" i="10"/>
  <c r="K11" i="10"/>
  <c r="L11" i="10"/>
  <c r="B12" i="10"/>
  <c r="N11" i="10" s="1"/>
  <c r="G12" i="10"/>
  <c r="H12" i="10"/>
  <c r="I12" i="10" s="1"/>
  <c r="J12" i="10"/>
  <c r="K12" i="10"/>
  <c r="L12" i="10"/>
  <c r="B13" i="10"/>
  <c r="N12" i="10" s="1"/>
  <c r="G13" i="10"/>
  <c r="H13" i="10"/>
  <c r="I13" i="10" s="1"/>
  <c r="J13" i="10"/>
  <c r="K13" i="10"/>
  <c r="L13" i="10"/>
  <c r="B14" i="10"/>
  <c r="N13" i="10" s="1"/>
  <c r="G14" i="10"/>
  <c r="H14" i="10"/>
  <c r="I14" i="10" s="1"/>
  <c r="J14" i="10"/>
  <c r="K14" i="10"/>
  <c r="L14" i="10"/>
  <c r="B15" i="10"/>
  <c r="N14" i="10" s="1"/>
  <c r="G15" i="10"/>
  <c r="H15" i="10"/>
  <c r="I15" i="10" s="1"/>
  <c r="J15" i="10"/>
  <c r="K15" i="10"/>
  <c r="L15" i="10"/>
  <c r="B16" i="10"/>
  <c r="N15" i="10" s="1"/>
  <c r="G16" i="10"/>
  <c r="H16" i="10"/>
  <c r="I16" i="10" s="1"/>
  <c r="J16" i="10"/>
  <c r="K16" i="10"/>
  <c r="L16" i="10"/>
  <c r="B17" i="10"/>
  <c r="N16" i="10" s="1"/>
  <c r="G17" i="10"/>
  <c r="H17" i="10"/>
  <c r="I17" i="10" s="1"/>
  <c r="J17" i="10"/>
  <c r="K17" i="10"/>
  <c r="L17" i="10"/>
  <c r="B18" i="10"/>
  <c r="N17" i="10" s="1"/>
  <c r="G18" i="10"/>
  <c r="H18" i="10"/>
  <c r="I18" i="10" s="1"/>
  <c r="J18" i="10"/>
  <c r="K18" i="10"/>
  <c r="L18" i="10"/>
  <c r="B19" i="10"/>
  <c r="N18" i="10" s="1"/>
  <c r="G19" i="10"/>
  <c r="H19" i="10"/>
  <c r="I19" i="10" s="1"/>
  <c r="J19" i="10"/>
  <c r="K19" i="10"/>
  <c r="L19" i="10"/>
  <c r="B20" i="10"/>
  <c r="N19" i="10" s="1"/>
  <c r="G20" i="10"/>
  <c r="H20" i="10"/>
  <c r="I20" i="10" s="1"/>
  <c r="J20" i="10"/>
  <c r="K20" i="10"/>
  <c r="L20" i="10"/>
  <c r="B21" i="10"/>
  <c r="G21" i="10"/>
  <c r="H21" i="10"/>
  <c r="I21" i="10" s="1"/>
  <c r="J21" i="10"/>
  <c r="K21" i="10"/>
  <c r="L21" i="10"/>
  <c r="B22" i="10"/>
  <c r="G22" i="10"/>
  <c r="H22" i="10"/>
  <c r="I22" i="10" s="1"/>
  <c r="J22" i="10"/>
  <c r="K22" i="10"/>
  <c r="L22" i="10"/>
  <c r="B23" i="10"/>
  <c r="M23" i="10" s="1"/>
  <c r="G23" i="10"/>
  <c r="H23" i="10"/>
  <c r="I23" i="10" s="1"/>
  <c r="J23" i="10"/>
  <c r="K23" i="10"/>
  <c r="L23" i="10"/>
  <c r="B24" i="10"/>
  <c r="G24" i="10"/>
  <c r="H24" i="10"/>
  <c r="I24" i="10" s="1"/>
  <c r="J24" i="10"/>
  <c r="K24" i="10"/>
  <c r="L24" i="10"/>
  <c r="N24" i="10"/>
  <c r="D7" i="12" l="1"/>
  <c r="H7" i="12"/>
  <c r="D8" i="12"/>
  <c r="H8" i="12"/>
  <c r="C7" i="12"/>
  <c r="C8" i="12"/>
  <c r="C9" i="12" s="1"/>
  <c r="I14" i="12"/>
  <c r="C6" i="12"/>
  <c r="C10" i="12"/>
  <c r="D14" i="12"/>
  <c r="G6" i="12"/>
  <c r="G10" i="12"/>
  <c r="F14" i="12"/>
  <c r="G7" i="12"/>
  <c r="G8" i="12"/>
  <c r="G9" i="12" s="1"/>
  <c r="M18" i="10"/>
  <c r="M12" i="10"/>
  <c r="M10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M17" i="10"/>
  <c r="M15" i="10"/>
  <c r="M11" i="10"/>
  <c r="M7" i="10"/>
  <c r="P13" i="10" s="1"/>
  <c r="M21" i="10"/>
  <c r="M20" i="10"/>
  <c r="M16" i="10"/>
  <c r="M14" i="10"/>
  <c r="M8" i="10"/>
  <c r="M6" i="10"/>
  <c r="P22" i="10" s="1"/>
  <c r="P6" i="10"/>
  <c r="M24" i="10"/>
  <c r="M22" i="10"/>
  <c r="M19" i="10"/>
  <c r="M13" i="10"/>
  <c r="M9" i="10"/>
  <c r="P20" i="10" s="1"/>
  <c r="O23" i="10"/>
  <c r="O21" i="10"/>
  <c r="O17" i="10"/>
  <c r="O15" i="10"/>
  <c r="O13" i="10"/>
  <c r="O10" i="10"/>
  <c r="O7" i="10"/>
  <c r="O22" i="10"/>
  <c r="O19" i="10"/>
  <c r="O14" i="10"/>
  <c r="O11" i="10"/>
  <c r="O8" i="10"/>
  <c r="N23" i="10"/>
  <c r="N22" i="10"/>
  <c r="N21" i="10"/>
  <c r="N20" i="10"/>
  <c r="Q23" i="10" s="1"/>
  <c r="O24" i="10"/>
  <c r="O20" i="10"/>
  <c r="O18" i="10"/>
  <c r="O16" i="10"/>
  <c r="O12" i="10"/>
  <c r="O9" i="10"/>
  <c r="G11" i="12" l="1"/>
  <c r="I7" i="12"/>
  <c r="J7" i="12"/>
  <c r="I8" i="12"/>
  <c r="J8" i="12"/>
  <c r="H9" i="12"/>
  <c r="D9" i="12"/>
  <c r="E8" i="12"/>
  <c r="F8" i="12"/>
  <c r="C11" i="12"/>
  <c r="E7" i="12"/>
  <c r="F7" i="12"/>
  <c r="P14" i="10"/>
  <c r="P23" i="10"/>
  <c r="P24" i="10"/>
  <c r="Q22" i="10"/>
  <c r="P11" i="10"/>
  <c r="P17" i="10"/>
  <c r="Q21" i="10"/>
  <c r="P10" i="10"/>
  <c r="P18" i="10"/>
  <c r="Q24" i="10"/>
  <c r="P8" i="10"/>
  <c r="P16" i="10"/>
  <c r="Q20" i="10"/>
  <c r="P9" i="10"/>
  <c r="P19" i="10"/>
  <c r="P7" i="10"/>
  <c r="P15" i="10"/>
  <c r="P21" i="10"/>
  <c r="P12" i="10"/>
  <c r="J9" i="12" l="1"/>
  <c r="F9" i="12"/>
</calcChain>
</file>

<file path=xl/sharedStrings.xml><?xml version="1.0" encoding="utf-8"?>
<sst xmlns="http://schemas.openxmlformats.org/spreadsheetml/2006/main" count="92" uniqueCount="55">
  <si>
    <t>الإجمالي</t>
  </si>
  <si>
    <t>القمر المنير للصيدلة</t>
  </si>
  <si>
    <t>الأخبار الرياضية</t>
  </si>
  <si>
    <t>الشركة الوطنية</t>
  </si>
  <si>
    <t> مسرح الشركة الوطنية</t>
  </si>
  <si>
    <t>الشركة الوطنية للإنتاج</t>
  </si>
  <si>
    <t>شركة القمر المنير</t>
  </si>
  <si>
    <t>سنوي </t>
  </si>
  <si>
    <t>ربع سنوي </t>
  </si>
  <si>
    <t>شهري </t>
  </si>
  <si>
    <t>سنوي</t>
  </si>
  <si>
    <t>ربع سنوي</t>
  </si>
  <si>
    <t>شهري</t>
  </si>
  <si>
    <t>MONTH NUM (HIDE)</t>
  </si>
  <si>
    <t>السة</t>
  </si>
  <si>
    <t>الربع</t>
  </si>
  <si>
    <t>الشهر</t>
  </si>
  <si>
    <t>العائد</t>
  </si>
  <si>
    <t>التكلفة</t>
  </si>
  <si>
    <t>المخطط</t>
  </si>
  <si>
    <t>المبلغ</t>
  </si>
  <si>
    <t>الشركة</t>
  </si>
  <si>
    <t>‎التاريخ</t>
  </si>
  <si>
    <t>التنبؤ</t>
  </si>
  <si>
    <r>
      <rPr>
        <b/>
        <sz val="22"/>
        <color theme="4"/>
        <rFont val="Tahoma"/>
        <family val="2"/>
      </rPr>
      <t>إدخال</t>
    </r>
    <r>
      <rPr>
        <sz val="22"/>
        <color theme="4"/>
        <rFont val="Tahoma"/>
        <family val="2"/>
      </rPr>
      <t xml:space="preserve"> البيانات </t>
    </r>
    <r>
      <rPr>
        <b/>
        <sz val="22"/>
        <rFont val="Tahoma"/>
        <family val="2"/>
      </rPr>
      <t>الشهرية</t>
    </r>
  </si>
  <si>
    <t>Grand Total</t>
  </si>
  <si>
    <t>إجمالي الربع 4</t>
  </si>
  <si>
    <t>إجمالي الربع 3</t>
  </si>
  <si>
    <t>إجمالي الربع 2</t>
  </si>
  <si>
    <t>مجموع المبيعات</t>
  </si>
  <si>
    <t xml:space="preserve"> </t>
  </si>
  <si>
    <t>تدفق العائد</t>
  </si>
  <si>
    <t>التنبؤ للسنة</t>
  </si>
  <si>
    <t>التنبؤ لربع السنة</t>
  </si>
  <si>
    <t>التنبؤ للشهر</t>
  </si>
  <si>
    <t>تاريخ المبيعات</t>
  </si>
  <si>
    <t>المبيعات</t>
  </si>
  <si>
    <t>السنة التالية</t>
  </si>
  <si>
    <t>الربع التالي</t>
  </si>
  <si>
    <t>الشهر التالي</t>
  </si>
  <si>
    <t>متوسط قيمة الطلب</t>
  </si>
  <si>
    <t>عدد الطلبات</t>
  </si>
  <si>
    <t>الهامش</t>
  </si>
  <si>
    <t>العائدات</t>
  </si>
  <si>
    <t>الكمية</t>
  </si>
  <si>
    <t>النسبة من بداية السنة حتى اليوم</t>
  </si>
  <si>
    <t>الفرق من بداية السنة حتى اليوم</t>
  </si>
  <si>
    <t>المخطط من بداية السنة حتى اليوم</t>
  </si>
  <si>
    <t>الفعلي من بداية السنة حتى اليوم</t>
  </si>
  <si>
    <t>%</t>
  </si>
  <si>
    <t>الفرق</t>
  </si>
  <si>
    <t>الفعلي</t>
  </si>
  <si>
    <t>هذا الشهر</t>
  </si>
  <si>
    <r>
      <t xml:space="preserve">التنبؤ بالمبيعات </t>
    </r>
    <r>
      <rPr>
        <b/>
        <sz val="22"/>
        <rFont val="Tahoma"/>
        <family val="2"/>
      </rPr>
      <t>الشهرية</t>
    </r>
  </si>
  <si>
    <t>تقرير المبيعات الشهري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</si>
</sst>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&quot;ر.س.‏&quot;\ #,##0.00_-"/>
    <numFmt numFmtId="165" formatCode="###0.00\ &quot;ر.س.‏&quot;"/>
    <numFmt numFmtId="166" formatCode="_-* #,##0.00_-;_-* #,##0.00\-;_-* &quot;-&quot;??_-;_-@_-"/>
    <numFmt numFmtId="167" formatCode="&quot;الربع &quot;0"/>
    <numFmt numFmtId="168" formatCode="mmmm"/>
    <numFmt numFmtId="169" formatCode="yy/mm/dd"/>
    <numFmt numFmtId="170" formatCode="#,##0.00\ &quot;ر.س.‏&quot;"/>
    <numFmt numFmtId="171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b/>
      <sz val="28"/>
      <color theme="6"/>
      <name val="Calibri"/>
      <family val="2"/>
      <scheme val="minor"/>
    </font>
    <font>
      <sz val="10"/>
      <color rgb="FF595959"/>
      <name val="Arial"/>
    </font>
    <font>
      <sz val="11"/>
      <color theme="3"/>
      <name val="Tahoma"/>
      <family val="2"/>
    </font>
    <font>
      <sz val="24"/>
      <color theme="3"/>
      <name val="Tahoma"/>
      <family val="2"/>
    </font>
    <font>
      <sz val="11"/>
      <color theme="5" tint="-0.24994659260841701"/>
      <name val="Tahoma"/>
      <family val="2"/>
    </font>
    <font>
      <b/>
      <sz val="11"/>
      <color theme="3"/>
      <name val="Tahoma"/>
      <family val="2"/>
    </font>
    <font>
      <sz val="8"/>
      <color theme="0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5"/>
      <name val="Calibri"/>
      <family val="2"/>
      <scheme val="minor"/>
    </font>
    <font>
      <sz val="10"/>
      <color theme="5"/>
      <name val="Tahoma"/>
      <family val="2"/>
    </font>
    <font>
      <b/>
      <sz val="10"/>
      <color theme="5"/>
      <name val="Tahoma"/>
      <family val="2"/>
    </font>
    <font>
      <sz val="6"/>
      <color theme="3"/>
      <name val="Tahoma"/>
      <family val="2"/>
    </font>
    <font>
      <sz val="8"/>
      <color theme="3"/>
      <name val="Tahoma"/>
      <family val="2"/>
    </font>
    <font>
      <sz val="22"/>
      <color theme="4"/>
      <name val="Tahoma"/>
      <family val="2"/>
    </font>
    <font>
      <b/>
      <sz val="22"/>
      <color theme="4"/>
      <name val="Tahoma"/>
      <family val="2"/>
    </font>
    <font>
      <b/>
      <sz val="22"/>
      <name val="Tahoma"/>
      <family val="2"/>
    </font>
    <font>
      <b/>
      <sz val="8"/>
      <color theme="3"/>
      <name val="Tahoma"/>
      <family val="2"/>
    </font>
    <font>
      <sz val="8"/>
      <color theme="1"/>
      <name val="Tahoma"/>
    </font>
    <font>
      <sz val="10"/>
      <color theme="5"/>
      <name val="Tahoma"/>
    </font>
    <font>
      <sz val="12"/>
      <color theme="1" tint="0.249977111117893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u/>
      <sz val="18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/>
      <bottom style="thin">
        <color theme="3" tint="0.59996337778862885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59996337778862885"/>
      </top>
      <bottom style="thin">
        <color theme="3" tint="0.79998168889431442"/>
      </bottom>
      <diagonal/>
    </border>
  </borders>
  <cellStyleXfs count="19">
    <xf numFmtId="0" fontId="0" fillId="0" borderId="0"/>
    <xf numFmtId="0" fontId="1" fillId="2" borderId="0">
      <alignment vertical="center"/>
    </xf>
    <xf numFmtId="0" fontId="2" fillId="2" borderId="0" applyNumberFormat="0" applyProtection="0">
      <alignment vertical="center"/>
    </xf>
    <xf numFmtId="0" fontId="3" fillId="0" borderId="0"/>
    <xf numFmtId="0" fontId="4" fillId="0" borderId="0" applyNumberFormat="0" applyFill="0" applyBorder="0" applyProtection="0">
      <alignment wrapText="1" readingOrder="2"/>
    </xf>
    <xf numFmtId="0" fontId="5" fillId="0" borderId="0" applyNumberFormat="0" applyFill="0" applyBorder="0" applyAlignment="0" applyProtection="0">
      <alignment readingOrder="2"/>
    </xf>
    <xf numFmtId="0" fontId="4" fillId="0" borderId="0" applyNumberFormat="0" applyFill="0" applyBorder="0" applyProtection="0">
      <alignment horizontal="right" readingOrder="2"/>
    </xf>
    <xf numFmtId="0" fontId="4" fillId="0" borderId="0" applyNumberFormat="0" applyFill="0" applyBorder="0" applyProtection="0">
      <alignment horizontal="left" readingOrder="2"/>
    </xf>
    <xf numFmtId="14" fontId="4" fillId="0" borderId="0" applyFill="0" applyBorder="0" applyAlignment="0" applyProtection="0">
      <alignment readingOrder="2"/>
    </xf>
    <xf numFmtId="0" fontId="6" fillId="0" borderId="0" applyNumberFormat="0" applyFill="0" applyBorder="0" applyProtection="0">
      <alignment horizontal="left" wrapText="1"/>
    </xf>
    <xf numFmtId="0" fontId="7" fillId="0" borderId="0" applyNumberFormat="0" applyFill="0" applyBorder="0" applyProtection="0">
      <alignment vertical="center"/>
    </xf>
    <xf numFmtId="164" fontId="4" fillId="0" borderId="0" applyFill="0" applyBorder="0" applyProtection="0">
      <alignment vertical="center"/>
    </xf>
    <xf numFmtId="0" fontId="4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0" borderId="1" applyNumberFormat="0" applyFill="0" applyProtection="0">
      <alignment vertical="top" wrapText="1" readingOrder="2"/>
    </xf>
    <xf numFmtId="0" fontId="9" fillId="0" borderId="0" applyNumberFormat="0" applyFill="0" applyBorder="0" applyAlignment="0" applyProtection="0"/>
    <xf numFmtId="0" fontId="11" fillId="0" borderId="0">
      <alignment vertical="center"/>
    </xf>
    <xf numFmtId="166" fontId="10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12" fillId="0" borderId="0" xfId="16" applyFont="1" applyAlignment="1">
      <alignment horizontal="right" vertical="center" readingOrder="2"/>
    </xf>
    <xf numFmtId="165" fontId="12" fillId="4" borderId="0" xfId="16" applyNumberFormat="1" applyFont="1" applyFill="1" applyAlignment="1">
      <alignment horizontal="right" vertical="center" readingOrder="2"/>
    </xf>
    <xf numFmtId="165" fontId="12" fillId="5" borderId="0" xfId="16" applyNumberFormat="1" applyFont="1" applyFill="1" applyAlignment="1">
      <alignment horizontal="right" vertical="center" readingOrder="2"/>
    </xf>
    <xf numFmtId="0" fontId="12" fillId="6" borderId="0" xfId="17" applyNumberFormat="1" applyFont="1" applyFill="1" applyBorder="1" applyAlignment="1">
      <alignment horizontal="right" vertical="center" readingOrder="2"/>
    </xf>
    <xf numFmtId="0" fontId="12" fillId="7" borderId="0" xfId="16" applyFont="1" applyFill="1" applyAlignment="1">
      <alignment horizontal="right" vertical="center" readingOrder="2"/>
    </xf>
    <xf numFmtId="167" fontId="12" fillId="7" borderId="0" xfId="16" applyNumberFormat="1" applyFont="1" applyFill="1" applyAlignment="1">
      <alignment horizontal="right" vertical="center" readingOrder="2"/>
    </xf>
    <xf numFmtId="168" fontId="12" fillId="7" borderId="0" xfId="16" applyNumberFormat="1" applyFont="1" applyFill="1" applyAlignment="1">
      <alignment horizontal="right" vertical="center" readingOrder="2"/>
    </xf>
    <xf numFmtId="165" fontId="12" fillId="7" borderId="0" xfId="16" applyNumberFormat="1" applyFont="1" applyFill="1" applyAlignment="1">
      <alignment horizontal="right" vertical="center" readingOrder="2"/>
    </xf>
    <xf numFmtId="165" fontId="13" fillId="0" borderId="0" xfId="16" applyNumberFormat="1" applyFont="1" applyAlignment="1">
      <alignment horizontal="right" vertical="center" readingOrder="2"/>
    </xf>
    <xf numFmtId="0" fontId="13" fillId="0" borderId="0" xfId="16" applyFont="1" applyAlignment="1">
      <alignment horizontal="right" vertical="center" wrapText="1" readingOrder="2"/>
    </xf>
    <xf numFmtId="169" fontId="13" fillId="0" borderId="0" xfId="16" applyNumberFormat="1" applyFont="1" applyAlignment="1">
      <alignment horizontal="right" vertical="center" readingOrder="2"/>
    </xf>
    <xf numFmtId="0" fontId="15" fillId="0" borderId="0" xfId="18" applyFont="1" applyFill="1" applyBorder="1" applyAlignment="1">
      <alignment horizontal="right" vertical="center" readingOrder="2"/>
    </xf>
    <xf numFmtId="0" fontId="16" fillId="0" borderId="0" xfId="18" applyFont="1" applyFill="1" applyBorder="1" applyAlignment="1">
      <alignment horizontal="right" vertical="center" readingOrder="2"/>
    </xf>
    <xf numFmtId="0" fontId="12" fillId="0" borderId="2" xfId="16" applyFont="1" applyBorder="1" applyAlignment="1">
      <alignment horizontal="right" vertical="center" readingOrder="2"/>
    </xf>
    <xf numFmtId="0" fontId="12" fillId="0" borderId="3" xfId="16" applyFont="1" applyBorder="1" applyAlignment="1">
      <alignment horizontal="right" vertical="center" readingOrder="2"/>
    </xf>
    <xf numFmtId="0" fontId="12" fillId="0" borderId="4" xfId="16" applyFont="1" applyBorder="1" applyAlignment="1">
      <alignment horizontal="right" vertical="center" readingOrder="2"/>
    </xf>
    <xf numFmtId="0" fontId="17" fillId="0" borderId="0" xfId="16" applyFont="1" applyAlignment="1">
      <alignment horizontal="right" readingOrder="2"/>
    </xf>
    <xf numFmtId="0" fontId="18" fillId="0" borderId="0" xfId="16" applyFont="1" applyAlignment="1">
      <alignment horizontal="right" indent="13" readingOrder="2"/>
    </xf>
    <xf numFmtId="0" fontId="19" fillId="0" borderId="0" xfId="16" applyFont="1" applyAlignment="1">
      <alignment horizontal="right" vertical="center" readingOrder="2"/>
    </xf>
    <xf numFmtId="0" fontId="18" fillId="0" borderId="0" xfId="16" applyFont="1" applyAlignment="1">
      <alignment horizontal="right" vertical="center" readingOrder="2"/>
    </xf>
    <xf numFmtId="0" fontId="11" fillId="0" borderId="0" xfId="16">
      <alignment vertical="center"/>
    </xf>
    <xf numFmtId="165" fontId="23" fillId="0" borderId="0" xfId="16" applyNumberFormat="1" applyFont="1" applyAlignment="1">
      <alignment horizontal="right" vertical="center" readingOrder="2"/>
    </xf>
    <xf numFmtId="0" fontId="23" fillId="0" borderId="0" xfId="16" applyFont="1" applyAlignment="1">
      <alignment horizontal="right" vertical="center" readingOrder="2"/>
    </xf>
    <xf numFmtId="167" fontId="23" fillId="0" borderId="0" xfId="16" applyNumberFormat="1" applyFont="1" applyAlignment="1">
      <alignment horizontal="right" vertical="center" readingOrder="2"/>
    </xf>
    <xf numFmtId="168" fontId="23" fillId="0" borderId="0" xfId="16" applyNumberFormat="1" applyFont="1" applyAlignment="1">
      <alignment horizontal="right" vertical="center" readingOrder="2"/>
    </xf>
    <xf numFmtId="0" fontId="24" fillId="0" borderId="0" xfId="16" applyFont="1" applyAlignment="1">
      <alignment horizontal="right" vertical="center" readingOrder="2"/>
    </xf>
    <xf numFmtId="0" fontId="23" fillId="0" borderId="0" xfId="16" pivotButton="1" applyFont="1" applyAlignment="1">
      <alignment horizontal="right" vertical="center" readingOrder="2"/>
    </xf>
    <xf numFmtId="171" fontId="25" fillId="0" borderId="0" xfId="16" applyNumberFormat="1" applyFont="1" applyAlignment="1">
      <alignment horizontal="right" vertical="center" readingOrder="2"/>
    </xf>
    <xf numFmtId="171" fontId="18" fillId="0" borderId="3" xfId="16" applyNumberFormat="1" applyFont="1" applyBorder="1" applyAlignment="1">
      <alignment horizontal="right" readingOrder="2"/>
    </xf>
    <xf numFmtId="170" fontId="22" fillId="0" borderId="3" xfId="16" applyNumberFormat="1" applyFont="1" applyBorder="1" applyAlignment="1">
      <alignment horizontal="right" readingOrder="2"/>
    </xf>
    <xf numFmtId="171" fontId="22" fillId="0" borderId="3" xfId="16" applyNumberFormat="1" applyFont="1" applyBorder="1" applyAlignment="1">
      <alignment horizontal="right" readingOrder="2"/>
    </xf>
    <xf numFmtId="0" fontId="22" fillId="0" borderId="3" xfId="16" applyFont="1" applyBorder="1" applyAlignment="1">
      <alignment horizontal="right" vertical="center" readingOrder="2"/>
    </xf>
    <xf numFmtId="0" fontId="22" fillId="0" borderId="3" xfId="16" applyFont="1" applyBorder="1" applyAlignment="1">
      <alignment horizontal="right" readingOrder="2"/>
    </xf>
    <xf numFmtId="171" fontId="15" fillId="0" borderId="5" xfId="16" applyNumberFormat="1" applyFont="1" applyBorder="1" applyAlignment="1">
      <alignment horizontal="right" readingOrder="2"/>
    </xf>
    <xf numFmtId="171" fontId="15" fillId="0" borderId="5" xfId="18" applyNumberFormat="1" applyFont="1" applyFill="1" applyBorder="1" applyAlignment="1">
      <alignment horizontal="right" vertical="center" readingOrder="2"/>
    </xf>
    <xf numFmtId="0" fontId="15" fillId="0" borderId="5" xfId="18" applyFont="1" applyBorder="1" applyAlignment="1">
      <alignment horizontal="right" vertical="center" readingOrder="2"/>
    </xf>
    <xf numFmtId="0" fontId="26" fillId="0" borderId="0" xfId="16" applyFont="1" applyAlignment="1">
      <alignment horizontal="right" vertical="center" readingOrder="2"/>
    </xf>
    <xf numFmtId="0" fontId="18" fillId="0" borderId="6" xfId="16" applyFont="1" applyBorder="1" applyAlignment="1">
      <alignment horizontal="right" vertical="center" indent="1" readingOrder="2"/>
    </xf>
    <xf numFmtId="164" fontId="18" fillId="0" borderId="6" xfId="16" applyNumberFormat="1" applyFont="1" applyBorder="1" applyAlignment="1">
      <alignment horizontal="right" vertical="center" indent="1" readingOrder="2"/>
    </xf>
    <xf numFmtId="170" fontId="18" fillId="7" borderId="6" xfId="16" applyNumberFormat="1" applyFont="1" applyFill="1" applyBorder="1" applyAlignment="1">
      <alignment horizontal="right" vertical="center" indent="1" readingOrder="2"/>
    </xf>
    <xf numFmtId="164" fontId="18" fillId="7" borderId="6" xfId="16" applyNumberFormat="1" applyFont="1" applyFill="1" applyBorder="1" applyAlignment="1">
      <alignment horizontal="right" vertical="center" indent="1" readingOrder="2"/>
    </xf>
    <xf numFmtId="0" fontId="22" fillId="0" borderId="6" xfId="16" applyFont="1" applyBorder="1" applyAlignment="1">
      <alignment horizontal="right" vertical="center" indent="1" readingOrder="2"/>
    </xf>
    <xf numFmtId="10" fontId="18" fillId="7" borderId="6" xfId="16" applyNumberFormat="1" applyFont="1" applyFill="1" applyBorder="1" applyAlignment="1">
      <alignment horizontal="right" vertical="center" indent="1" readingOrder="2"/>
    </xf>
    <xf numFmtId="10" fontId="18" fillId="0" borderId="7" xfId="16" applyNumberFormat="1" applyFont="1" applyBorder="1" applyAlignment="1">
      <alignment horizontal="right" vertical="center" indent="1" readingOrder="2"/>
    </xf>
    <xf numFmtId="0" fontId="18" fillId="0" borderId="7" xfId="17" applyNumberFormat="1" applyFont="1" applyFill="1" applyBorder="1" applyAlignment="1">
      <alignment horizontal="right" vertical="center" indent="1" readingOrder="2"/>
    </xf>
    <xf numFmtId="0" fontId="18" fillId="7" borderId="7" xfId="17" applyNumberFormat="1" applyFont="1" applyFill="1" applyBorder="1" applyAlignment="1">
      <alignment horizontal="right" vertical="center" indent="1" readingOrder="2"/>
    </xf>
    <xf numFmtId="0" fontId="18" fillId="0" borderId="7" xfId="16" applyFont="1" applyBorder="1" applyAlignment="1">
      <alignment horizontal="right" vertical="center" indent="1" readingOrder="2"/>
    </xf>
    <xf numFmtId="0" fontId="22" fillId="0" borderId="7" xfId="16" applyFont="1" applyBorder="1" applyAlignment="1">
      <alignment horizontal="right" vertical="center" indent="1" readingOrder="2"/>
    </xf>
    <xf numFmtId="171" fontId="15" fillId="0" borderId="5" xfId="18" applyNumberFormat="1" applyFont="1" applyFill="1" applyBorder="1" applyAlignment="1">
      <alignment horizontal="right" vertical="center" indent="1" readingOrder="2"/>
    </xf>
    <xf numFmtId="0" fontId="16" fillId="0" borderId="5" xfId="18" applyFont="1" applyFill="1" applyBorder="1" applyAlignment="1">
      <alignment horizontal="right" vertical="center" indent="1" readingOrder="2"/>
    </xf>
    <xf numFmtId="14" fontId="27" fillId="0" borderId="0" xfId="16" applyNumberFormat="1" applyFont="1" applyAlignment="1">
      <alignment horizontal="right" readingOrder="2"/>
    </xf>
    <xf numFmtId="0" fontId="25" fillId="0" borderId="0" xfId="16" applyFont="1" applyAlignment="1">
      <alignment horizontal="right" readingOrder="2"/>
    </xf>
    <xf numFmtId="0" fontId="9" fillId="0" borderId="0" xfId="15" applyAlignment="1">
      <alignment vertical="center" readingOrder="2"/>
    </xf>
    <xf numFmtId="0" fontId="28" fillId="0" borderId="0" xfId="15" applyFont="1" applyAlignment="1">
      <alignment horizontal="center" vertical="center" readingOrder="2"/>
    </xf>
  </cellXfs>
  <cellStyles count="19">
    <cellStyle name="Comma 2" xfId="17" xr:uid="{7DC914CD-E1B7-4F12-BC8F-829E5BFA31BD}"/>
    <cellStyle name="Heading 1 2" xfId="2" xr:uid="{E0E49938-C3EE-4802-99EB-001F810CF8AC}"/>
    <cellStyle name="Heading 4 2" xfId="18" xr:uid="{7C2CAEED-B34D-49DC-AE45-74CFDCF9F110}"/>
    <cellStyle name="Hyperlink" xfId="15" builtinId="8"/>
    <cellStyle name="Normal" xfId="0" builtinId="0"/>
    <cellStyle name="Normal 2" xfId="1" xr:uid="{E073C89F-3516-41A3-96D8-2677BD2B1E9B}"/>
    <cellStyle name="Normal 3" xfId="3" xr:uid="{A38DBC1A-2F1F-4DFD-89F4-E43B77B1AF2C}"/>
    <cellStyle name="Normal 4" xfId="4" xr:uid="{EE759A8D-419C-41CD-A08F-B6EF22AC7BC5}"/>
    <cellStyle name="Normal 5" xfId="16" xr:uid="{72DE5325-1B6D-4615-81E1-08C4A159003E}"/>
    <cellStyle name="Title 2" xfId="5" xr:uid="{7307D6DE-DC0B-4733-B2DC-B0E457740D6F}"/>
    <cellStyle name="إجماليات الجدول" xfId="13" xr:uid="{12EB242D-7D97-43E3-AFDA-C8EA562A535D}"/>
    <cellStyle name="الإدخال المخصص" xfId="7" xr:uid="{1D4FE4F7-62E1-4422-B309-C4E5DBD1CCF6}"/>
    <cellStyle name="الأيام" xfId="10" xr:uid="{5001BAB6-E157-4C8A-9776-A68C369EF3F9}"/>
    <cellStyle name="التاريخ المخصص" xfId="8" xr:uid="{D808A42B-AB81-4BC2-BFF9-45BBF243E0A9}"/>
    <cellStyle name="التسميات" xfId="6" xr:uid="{DA680672-3B8C-4E71-9404-46CAC003866B}"/>
    <cellStyle name="العملة المخصصة" xfId="11" xr:uid="{97544305-716E-4F26-8995-3F098A2391C3}"/>
    <cellStyle name="الملاحظات" xfId="14" xr:uid="{4C89D7BE-EE3E-4C7D-B5BC-F6B13CA22D33}"/>
    <cellStyle name="عناوين الجدول" xfId="9" xr:uid="{2D7BD45B-020B-485F-8875-5A95C032C09B}"/>
    <cellStyle name="لا تكتب" xfId="12" xr:uid="{D7852009-DB8D-46D0-9E77-A6BDDFD62F8B}"/>
  </cellStyles>
  <dxfs count="66">
    <dxf>
      <border>
        <left/>
        <right/>
        <top style="thin">
          <color theme="3" tint="0.79998168889431442"/>
        </top>
        <bottom/>
        <vertical/>
        <horizontal/>
      </border>
    </dxf>
    <dxf>
      <border>
        <left/>
        <right/>
        <top style="thin">
          <color theme="3" tint="0.79998168889431442"/>
        </top>
        <bottom/>
        <vertical/>
        <horizontal/>
      </border>
    </dxf>
    <dxf>
      <font>
        <b val="0"/>
        <i val="0"/>
        <color theme="3"/>
      </font>
      <border>
        <left/>
        <right/>
        <top/>
        <bottom style="thin">
          <color theme="3" tint="0.79998168889431442"/>
        </bottom>
        <vertical/>
        <horizontal/>
      </border>
    </dxf>
    <dxf>
      <numFmt numFmtId="165" formatCode="###0.00\ &quot;ر.س.‏&quot;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numFmt numFmtId="164" formatCode="&quot;ر.س.‏&quot;\ #,##0.00_-"/>
    </dxf>
    <dxf>
      <alignment horizontal="right" readingOrder="2"/>
    </dxf>
    <dxf>
      <alignment horizontal="right" readingOrder="2"/>
    </dxf>
    <dxf>
      <alignment horizontal="right" readingOrder="2"/>
    </dxf>
    <dxf>
      <alignment horizontal="right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minor"/>
      </font>
    </dxf>
    <dxf>
      <alignment horizontal="right" readingOrder="0"/>
    </dxf>
    <dxf>
      <font>
        <b val="0"/>
        <i val="0"/>
        <color theme="3"/>
      </font>
      <border>
        <left/>
        <right/>
        <top/>
        <bottom style="thin">
          <color theme="3" tint="0.79998168889431442"/>
        </bottom>
        <vertical/>
        <horizontal/>
      </border>
    </dxf>
    <dxf>
      <border>
        <left/>
        <right/>
        <top style="thin">
          <color theme="3" tint="0.79998168889431442"/>
        </top>
        <bottom/>
        <vertical/>
        <horizontal/>
      </border>
    </dxf>
    <dxf>
      <border>
        <left/>
        <right/>
        <top style="thin">
          <color theme="3" tint="0.79998168889431442"/>
        </top>
        <bottom/>
        <vertical/>
        <horizontal/>
      </border>
    </dxf>
    <dxf>
      <font>
        <b val="0"/>
        <i val="0"/>
        <color theme="3"/>
      </font>
      <border>
        <left/>
        <right/>
        <top/>
        <bottom style="thin">
          <color theme="3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70" formatCode="#,##0.00\ &quot;ر.س.‏&quot;"/>
      <fill>
        <patternFill patternType="solid">
          <fgColor indexed="64"/>
          <bgColor theme="4" tint="0.79998168889431442"/>
        </patternFill>
      </fill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70" formatCode="#,##0.00\ &quot;ر.س.‏&quot;"/>
      <fill>
        <patternFill patternType="solid">
          <fgColor indexed="64"/>
          <bgColor theme="4" tint="0.59999389629810485"/>
        </patternFill>
      </fill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fill>
        <patternFill>
          <fgColor indexed="64"/>
          <bgColor theme="4" tint="0.39997558519241921"/>
        </patternFill>
      </fill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7" formatCode="&quot;الربع &quot;0"/>
      <fill>
        <patternFill>
          <fgColor indexed="64"/>
          <bgColor theme="4" tint="0.39997558519241921"/>
        </patternFill>
      </fill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fill>
        <patternFill>
          <fgColor indexed="64"/>
          <bgColor theme="4" tint="0.39997558519241921"/>
        </patternFill>
      </fill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70" formatCode="#,##0.00\ &quot;ر.س.‏&quot;"/>
      <fill>
        <patternFill>
          <fgColor indexed="64"/>
          <bgColor theme="4" tint="0.39997558519241921"/>
        </patternFill>
      </fill>
      <alignment horizontal="right" vertical="center" textRotation="0" indent="0" justifyLastLine="0" shrinkToFit="0" readingOrder="2"/>
    </dxf>
    <dxf>
      <font>
        <b/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/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5" formatCode="###0.00\ &quot;ر.س.‏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/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70" formatCode="#,##0.00\ &quot;ر.س.‏&quot;"/>
      <alignment horizontal="right" vertical="center" textRotation="0" indent="0" justifyLastLine="0" shrinkToFit="0" readingOrder="2"/>
    </dxf>
    <dxf>
      <font>
        <b/>
        <strike val="0"/>
        <outline val="0"/>
        <shadow val="0"/>
        <u val="none"/>
        <vertAlign val="baseline"/>
        <sz val="8"/>
        <color theme="1"/>
        <name val="Tahoma"/>
        <scheme val="none"/>
      </font>
      <alignment horizontal="right" vertical="center" textRotation="0" indent="0" justifyLastLine="0" shrinkToFit="0" readingOrder="2"/>
    </dxf>
    <dxf>
      <font>
        <b/>
        <strike val="0"/>
        <outline val="0"/>
        <shadow val="0"/>
        <u val="none"/>
        <vertAlign val="baseline"/>
        <sz val="8"/>
        <color theme="1"/>
        <name val="Tahoma"/>
        <scheme val="none"/>
      </font>
      <numFmt numFmtId="169" formatCode="yy/mm/dd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8"/>
        <color theme="1"/>
        <name val="Tahoma"/>
        <scheme val="none"/>
      </font>
      <alignment horizontal="right" vertical="center" textRotation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scheme val="none"/>
      </font>
      <alignment horizontal="right" vertical="center" textRotation="0" indent="0" justifyLastLine="0" shrinkToFit="0" readingOrder="2"/>
    </dxf>
    <dxf>
      <font>
        <b/>
        <i val="0"/>
        <color theme="0"/>
      </font>
      <fill>
        <patternFill>
          <bgColor theme="4"/>
        </patternFill>
      </fill>
      <border>
        <vertical style="thin">
          <color theme="0"/>
        </vertical>
      </border>
    </dxf>
    <dxf>
      <border>
        <bottom style="thin">
          <color theme="3"/>
        </bottom>
      </border>
    </dxf>
    <dxf>
      <border>
        <vertical style="thin">
          <color theme="3"/>
        </vertic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AEAEA"/>
        </patternFill>
      </fill>
    </dxf>
    <dxf>
      <fill>
        <patternFill>
          <bgColor theme="0"/>
        </patternFill>
      </fill>
    </dxf>
    <dxf>
      <font>
        <b/>
        <i val="0"/>
        <color theme="1" tint="0.24994659260841701"/>
      </font>
      <fill>
        <patternFill patternType="solid">
          <fgColor theme="4" tint="0.79992065187536243"/>
          <bgColor theme="0"/>
        </patternFill>
      </fill>
      <border diagonalUp="0" diagonalDown="0">
        <left/>
        <right/>
        <top style="medium">
          <color theme="3" tint="0.39988402966399123"/>
        </top>
        <bottom/>
        <vertical/>
        <horizontal/>
      </border>
    </dxf>
    <dxf>
      <font>
        <b val="0"/>
        <i val="0"/>
        <color theme="5"/>
      </font>
      <fill>
        <patternFill patternType="solid">
          <fgColor theme="4" tint="0.79995117038483843"/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ill>
        <patternFill>
          <bgColor theme="0"/>
        </patternFill>
      </fill>
      <border>
        <horizontal style="thin">
          <color theme="0" tint="-4.9989318521683403E-2"/>
        </horizontal>
      </border>
    </dxf>
    <dxf>
      <font>
        <b val="0"/>
        <i val="0"/>
        <color theme="5"/>
      </font>
      <border diagonalUp="0" diagonalDown="0">
        <left/>
        <right/>
        <top/>
        <bottom style="thin">
          <color theme="3" tint="0.79998168889431442"/>
        </bottom>
        <vertical/>
        <horizontal/>
      </border>
    </dxf>
    <dxf>
      <font>
        <b val="0"/>
        <i val="0"/>
        <color theme="3"/>
      </font>
      <border diagonalUp="0" diagonalDown="0">
        <left/>
        <right/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b/>
        <i val="0"/>
        <color theme="5" tint="-0.24994659260841701"/>
      </font>
      <fill>
        <patternFill>
          <bgColor theme="5" tint="0.39994506668294322"/>
        </patternFill>
      </fill>
      <border>
        <left style="thick">
          <color theme="0"/>
        </left>
      </border>
    </dxf>
    <dxf>
      <font>
        <b/>
        <i val="0"/>
        <color theme="0"/>
      </font>
      <fill>
        <patternFill>
          <bgColor theme="5"/>
        </patternFill>
      </fill>
      <border>
        <bottom style="thick">
          <color theme="0"/>
        </bottom>
      </border>
    </dxf>
    <dxf>
      <font>
        <b/>
        <i val="0"/>
      </font>
      <border>
        <bottom style="thin">
          <color theme="3" tint="0.79998168889431442"/>
        </bottom>
      </border>
    </dxf>
    <dxf>
      <font>
        <b/>
        <i val="0"/>
        <color theme="0"/>
      </font>
      <fill>
        <patternFill>
          <bgColor theme="4"/>
        </patternFill>
      </fill>
      <border>
        <left style="thick">
          <color theme="0"/>
        </left>
        <top style="thick">
          <color theme="0"/>
        </top>
        <bottom style="thick">
          <color theme="0"/>
        </bottom>
      </border>
    </dxf>
    <dxf>
      <font>
        <b/>
        <i val="0"/>
      </font>
      <border>
        <top style="thin">
          <color theme="3" tint="0.79995117038483843"/>
        </top>
        <bottom style="thin">
          <color theme="3" tint="0.79998168889431442"/>
        </bottom>
      </border>
    </dxf>
    <dxf>
      <font>
        <b/>
        <i val="0"/>
        <color theme="5"/>
      </font>
      <border>
        <bottom style="thin">
          <color theme="0" tint="-0.14996795556505021"/>
        </bottom>
      </border>
    </dxf>
    <dxf>
      <border>
        <bottom style="thin">
          <color theme="0" tint="-0.14996795556505021"/>
        </bottom>
      </border>
    </dxf>
    <dxf>
      <font>
        <b/>
        <i val="0"/>
        <color theme="6"/>
      </font>
      <fill>
        <patternFill patternType="solid">
          <bgColor rgb="FFEAEAEA"/>
        </patternFill>
      </fill>
      <border>
        <vertical/>
        <horizontal style="thin">
          <color theme="0" tint="-4.9989318521683403E-2"/>
        </horizontal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 style="double">
          <color theme="1" tint="0.24994659260841701"/>
        </top>
        <bottom/>
        <vertical/>
        <horizontal/>
      </border>
    </dxf>
    <dxf>
      <font>
        <b val="0"/>
        <i val="0"/>
        <color theme="6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 style="thin">
          <color theme="0" tint="-4.9989318521683403E-2"/>
        </horizontal>
      </border>
    </dxf>
    <dxf>
      <font>
        <b/>
        <i val="0"/>
        <color theme="6"/>
      </font>
      <fill>
        <patternFill patternType="solid">
          <bgColor rgb="FFEAEAEA"/>
        </patternFill>
      </fill>
      <border>
        <vertical/>
        <horizontal style="thin">
          <color theme="0" tint="-4.9989318521683403E-2"/>
        </horizontal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 style="double">
          <color theme="1" tint="0.24994659260841701"/>
        </top>
        <bottom/>
        <vertical/>
        <horizontal/>
      </border>
    </dxf>
    <dxf>
      <font>
        <b val="0"/>
        <i val="0"/>
        <color theme="6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/>
      </border>
    </dxf>
    <dxf>
      <font>
        <b val="0"/>
        <i val="0"/>
        <color theme="1" tint="0.24994659260841701"/>
      </font>
      <fill>
        <patternFill patternType="solid">
          <bgColor theme="0"/>
        </patternFill>
      </fill>
      <border diagonalUp="0" diagonalDown="0">
        <left/>
        <right/>
        <top/>
        <bottom style="medium">
          <color theme="3" tint="0.39994506668294322"/>
        </bottom>
        <vertical/>
        <horizontal style="thin">
          <color theme="0" tint="-4.9989318521683403E-2"/>
        </horizontal>
      </border>
    </dxf>
  </dxfs>
  <tableStyles count="6" defaultTableStyle="TableStyleMedium2" defaultPivotStyle="PivotStyleLight16">
    <tableStyle name="Cash Register Sales" pivot="0" count="4" xr9:uid="{AF5A5B6C-18EC-46AF-AE1B-2AFCFD7E4075}">
      <tableStyleElement type="wholeTable" dxfId="65"/>
      <tableStyleElement type="headerRow" dxfId="64"/>
      <tableStyleElement type="totalRow" dxfId="63"/>
      <tableStyleElement type="lastColumn" dxfId="62"/>
    </tableStyle>
    <tableStyle name="Cash Register Sales 2" pivot="0" count="4" xr9:uid="{DCAD3A28-C9BE-4E85-9D67-68276D2B1563}">
      <tableStyleElement type="wholeTable" dxfId="61"/>
      <tableStyleElement type="headerRow" dxfId="60"/>
      <tableStyleElement type="totalRow" dxfId="59"/>
      <tableStyleElement type="lastColumn" dxfId="58"/>
    </tableStyle>
    <tableStyle name="Monthly Sales Report PivotTable Style" table="0" count="8" xr9:uid="{9251CE11-4E0F-4688-B511-0D84DD314951}">
      <tableStyleElement type="wholeTable" dxfId="57"/>
      <tableStyleElement type="headerRow" dxfId="56"/>
      <tableStyleElement type="totalRow" dxfId="55"/>
      <tableStyleElement type="secondSubtotalRow" dxfId="54"/>
      <tableStyleElement type="thirdSubtotalRow" dxfId="53"/>
      <tableStyleElement type="firstRowSubheading" dxfId="52"/>
      <tableStyleElement type="secondRowSubheading" dxfId="51"/>
      <tableStyleElement type="thirdRowSubheading" dxfId="50"/>
    </tableStyle>
    <tableStyle name="Monthly Sales Report Table Style" pivot="0" count="2" xr9:uid="{E67D8298-25F3-47A7-9F9C-C805D93B073D}">
      <tableStyleElement type="wholeTable" dxfId="49"/>
      <tableStyleElement type="headerRow" dxfId="48"/>
    </tableStyle>
    <tableStyle name="Sales Report" table="0" count="8" xr9:uid="{0DF6E3CA-767B-423C-B57B-8C8A86EDE8D6}">
      <tableStyleElement type="wholeTable" dxfId="47"/>
      <tableStyleElement type="headerRow" dxfId="46"/>
      <tableStyleElement type="totalRow" dxfId="45"/>
      <tableStyleElement type="firstColumnSubheading" dxfId="44"/>
      <tableStyleElement type="secondColumnSubheading" dxfId="43"/>
      <tableStyleElement type="firstRowSubheading" dxfId="42"/>
      <tableStyleElement type="secondRowSubheading" dxfId="41"/>
      <tableStyleElement type="thirdRowSubheading" dxfId="40"/>
    </tableStyle>
    <tableStyle name="نشاط المبيعات الأسبوعية" pivot="0" count="3" xr9:uid="{7D8F766B-DD10-4D88-ADAA-2D09407D46EB}">
      <tableStyleElement type="wholeTable" dxfId="39"/>
      <tableStyleElement type="headerRow" dxfId="38"/>
      <tableStyleElement type="totalRow" dxfId="37"/>
    </tableStyle>
  </tableStyles>
  <colors>
    <mruColors>
      <color rgb="FFB538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'إدخال البيانات'!$D$5</c:f>
              <c:strCache>
                <c:ptCount val="1"/>
                <c:pt idx="0">
                  <c:v>المبلغ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البيانات'!$D$6:$D$24</c:f>
              <c:numCache>
                <c:formatCode>###0.00\ "ر.س.‏"</c:formatCode>
                <c:ptCount val="19"/>
                <c:pt idx="0">
                  <c:v>6400</c:v>
                </c:pt>
                <c:pt idx="1">
                  <c:v>8200</c:v>
                </c:pt>
                <c:pt idx="2">
                  <c:v>4400</c:v>
                </c:pt>
                <c:pt idx="3">
                  <c:v>5400</c:v>
                </c:pt>
                <c:pt idx="4">
                  <c:v>5800</c:v>
                </c:pt>
                <c:pt idx="5">
                  <c:v>6200</c:v>
                </c:pt>
                <c:pt idx="6">
                  <c:v>6900</c:v>
                </c:pt>
                <c:pt idx="7">
                  <c:v>7500</c:v>
                </c:pt>
                <c:pt idx="8">
                  <c:v>8700</c:v>
                </c:pt>
                <c:pt idx="9">
                  <c:v>8500</c:v>
                </c:pt>
                <c:pt idx="10">
                  <c:v>7900</c:v>
                </c:pt>
                <c:pt idx="11">
                  <c:v>9100</c:v>
                </c:pt>
                <c:pt idx="12">
                  <c:v>5600</c:v>
                </c:pt>
                <c:pt idx="13">
                  <c:v>9300</c:v>
                </c:pt>
                <c:pt idx="14">
                  <c:v>8800</c:v>
                </c:pt>
                <c:pt idx="15">
                  <c:v>9100</c:v>
                </c:pt>
                <c:pt idx="16">
                  <c:v>9000</c:v>
                </c:pt>
                <c:pt idx="17">
                  <c:v>7500</c:v>
                </c:pt>
                <c:pt idx="18">
                  <c:v>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7-4D8A-943D-3B9CF8926C86}"/>
            </c:ext>
          </c:extLst>
        </c:ser>
        <c:ser>
          <c:idx val="1"/>
          <c:order val="1"/>
          <c:tx>
            <c:strRef>
              <c:f>'إدخال البيانات'!$E$5</c:f>
              <c:strCache>
                <c:ptCount val="1"/>
                <c:pt idx="0">
                  <c:v>المخطط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البيانات'!$E$6:$E$24</c:f>
              <c:numCache>
                <c:formatCode>###0.00\ "ر.س.‏"</c:formatCode>
                <c:ptCount val="19"/>
                <c:pt idx="0">
                  <c:v>6200</c:v>
                </c:pt>
                <c:pt idx="1">
                  <c:v>8000</c:v>
                </c:pt>
                <c:pt idx="2">
                  <c:v>4200</c:v>
                </c:pt>
                <c:pt idx="3">
                  <c:v>5500</c:v>
                </c:pt>
                <c:pt idx="4">
                  <c:v>6000</c:v>
                </c:pt>
                <c:pt idx="5">
                  <c:v>6000</c:v>
                </c:pt>
                <c:pt idx="6">
                  <c:v>7500</c:v>
                </c:pt>
                <c:pt idx="7">
                  <c:v>7200</c:v>
                </c:pt>
                <c:pt idx="8">
                  <c:v>8500</c:v>
                </c:pt>
                <c:pt idx="9">
                  <c:v>8300</c:v>
                </c:pt>
                <c:pt idx="10">
                  <c:v>7700</c:v>
                </c:pt>
                <c:pt idx="11">
                  <c:v>8900</c:v>
                </c:pt>
                <c:pt idx="12">
                  <c:v>5800</c:v>
                </c:pt>
                <c:pt idx="13">
                  <c:v>9100</c:v>
                </c:pt>
                <c:pt idx="14">
                  <c:v>9350</c:v>
                </c:pt>
                <c:pt idx="15">
                  <c:v>9200</c:v>
                </c:pt>
                <c:pt idx="16">
                  <c:v>10000</c:v>
                </c:pt>
                <c:pt idx="17">
                  <c:v>8000</c:v>
                </c:pt>
                <c:pt idx="18">
                  <c:v>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7-4D8A-943D-3B9CF8926C86}"/>
            </c:ext>
          </c:extLst>
        </c:ser>
        <c:ser>
          <c:idx val="2"/>
          <c:order val="2"/>
          <c:tx>
            <c:strRef>
              <c:f>'إدخال البيانات'!$F$5</c:f>
              <c:strCache>
                <c:ptCount val="1"/>
                <c:pt idx="0">
                  <c:v>التكلفة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البيانات'!$F$6:$F$24</c:f>
              <c:numCache>
                <c:formatCode>###0.00\ "ر.س.‏"</c:formatCode>
                <c:ptCount val="19"/>
                <c:pt idx="0">
                  <c:v>4450</c:v>
                </c:pt>
                <c:pt idx="1">
                  <c:v>6400</c:v>
                </c:pt>
                <c:pt idx="2">
                  <c:v>2600</c:v>
                </c:pt>
                <c:pt idx="3">
                  <c:v>4500</c:v>
                </c:pt>
                <c:pt idx="4">
                  <c:v>4500</c:v>
                </c:pt>
                <c:pt idx="5">
                  <c:v>4500</c:v>
                </c:pt>
                <c:pt idx="6">
                  <c:v>5400</c:v>
                </c:pt>
                <c:pt idx="7">
                  <c:v>6500</c:v>
                </c:pt>
                <c:pt idx="8">
                  <c:v>7250</c:v>
                </c:pt>
                <c:pt idx="9">
                  <c:v>7100</c:v>
                </c:pt>
                <c:pt idx="10">
                  <c:v>6600</c:v>
                </c:pt>
                <c:pt idx="11">
                  <c:v>7900</c:v>
                </c:pt>
                <c:pt idx="12">
                  <c:v>4500</c:v>
                </c:pt>
                <c:pt idx="13">
                  <c:v>7500</c:v>
                </c:pt>
                <c:pt idx="14">
                  <c:v>7100</c:v>
                </c:pt>
                <c:pt idx="15">
                  <c:v>7850</c:v>
                </c:pt>
                <c:pt idx="16">
                  <c:v>7575</c:v>
                </c:pt>
                <c:pt idx="17">
                  <c:v>5850</c:v>
                </c:pt>
                <c:pt idx="18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7-4D8A-943D-3B9CF8926C86}"/>
            </c:ext>
          </c:extLst>
        </c:ser>
        <c:ser>
          <c:idx val="3"/>
          <c:order val="3"/>
          <c:tx>
            <c:strRef>
              <c:f>'إدخال البيانات'!$G$5</c:f>
              <c:strCache>
                <c:ptCount val="1"/>
                <c:pt idx="0">
                  <c:v>العائد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البيانات'!$G$6:$G$24</c:f>
              <c:numCache>
                <c:formatCode>###0.00\ "ر.س.‏"</c:formatCode>
                <c:ptCount val="19"/>
                <c:pt idx="0">
                  <c:v>1950</c:v>
                </c:pt>
                <c:pt idx="1">
                  <c:v>1800</c:v>
                </c:pt>
                <c:pt idx="2">
                  <c:v>1800</c:v>
                </c:pt>
                <c:pt idx="3">
                  <c:v>900</c:v>
                </c:pt>
                <c:pt idx="4">
                  <c:v>1300</c:v>
                </c:pt>
                <c:pt idx="5">
                  <c:v>1700</c:v>
                </c:pt>
                <c:pt idx="6">
                  <c:v>1500</c:v>
                </c:pt>
                <c:pt idx="7">
                  <c:v>1000</c:v>
                </c:pt>
                <c:pt idx="8">
                  <c:v>1450</c:v>
                </c:pt>
                <c:pt idx="9">
                  <c:v>1400</c:v>
                </c:pt>
                <c:pt idx="10">
                  <c:v>1300</c:v>
                </c:pt>
                <c:pt idx="11">
                  <c:v>1200</c:v>
                </c:pt>
                <c:pt idx="12">
                  <c:v>1100</c:v>
                </c:pt>
                <c:pt idx="13">
                  <c:v>1800</c:v>
                </c:pt>
                <c:pt idx="14">
                  <c:v>1700</c:v>
                </c:pt>
                <c:pt idx="15">
                  <c:v>1250</c:v>
                </c:pt>
                <c:pt idx="16">
                  <c:v>1425</c:v>
                </c:pt>
                <c:pt idx="17">
                  <c:v>1650</c:v>
                </c:pt>
                <c:pt idx="18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17-4D8A-943D-3B9CF8926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11872"/>
        <c:axId val="241014672"/>
      </c:lineChart>
      <c:dateAx>
        <c:axId val="241011872"/>
        <c:scaling>
          <c:orientation val="maxMin"/>
        </c:scaling>
        <c:delete val="0"/>
        <c:axPos val="b"/>
        <c:numFmt formatCode="#,##0.00\ &quot;ر.س.‏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1014672"/>
        <c:crosses val="autoZero"/>
        <c:auto val="1"/>
        <c:lblOffset val="100"/>
        <c:baseTimeUnit val="days"/>
        <c:majorUnit val="1"/>
        <c:majorTimeUnit val="months"/>
      </c:dateAx>
      <c:valAx>
        <c:axId val="241014672"/>
        <c:scaling>
          <c:orientation val="minMax"/>
        </c:scaling>
        <c:delete val="0"/>
        <c:axPos val="r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###0.00\ &quot;ر.س.‏&quot;" sourceLinked="0"/>
        <c:majorTickMark val="out"/>
        <c:minorTickMark val="none"/>
        <c:tickLblPos val="nextTo"/>
        <c:crossAx val="2410118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9721925133689856E-2"/>
          <c:y val="3.9215686274509803E-2"/>
          <c:w val="0.41296256684491983"/>
          <c:h val="0.103094378827646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spc="50" baseline="0">
          <a:solidFill>
            <a:schemeClr val="tx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'إدخال البيانات'!$O$5</c:f>
              <c:strCache>
                <c:ptCount val="1"/>
                <c:pt idx="0">
                  <c:v>شهري 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البيانات'!$O$6:$O$24</c:f>
              <c:numCache>
                <c:formatCode>###0.00\ "ر.س.‏"</c:formatCode>
                <c:ptCount val="19"/>
                <c:pt idx="0">
                  <c:v>14600</c:v>
                </c:pt>
                <c:pt idx="1">
                  <c:v>14600</c:v>
                </c:pt>
                <c:pt idx="2">
                  <c:v>28999.999999999996</c:v>
                </c:pt>
                <c:pt idx="3">
                  <c:v>29000</c:v>
                </c:pt>
                <c:pt idx="4">
                  <c:v>29000</c:v>
                </c:pt>
                <c:pt idx="5">
                  <c:v>29000</c:v>
                </c:pt>
                <c:pt idx="6">
                  <c:v>21600.000000000004</c:v>
                </c:pt>
                <c:pt idx="7">
                  <c:v>17950</c:v>
                </c:pt>
                <c:pt idx="8">
                  <c:v>10776.470588235294</c:v>
                </c:pt>
                <c:pt idx="9">
                  <c:v>12455.862068965516</c:v>
                </c:pt>
                <c:pt idx="10">
                  <c:v>13667.567567567567</c:v>
                </c:pt>
                <c:pt idx="11">
                  <c:v>17651.666666666668</c:v>
                </c:pt>
                <c:pt idx="12">
                  <c:v>19877.911646586344</c:v>
                </c:pt>
                <c:pt idx="13">
                  <c:v>21138.050314465407</c:v>
                </c:pt>
                <c:pt idx="14">
                  <c:v>17951.744186046511</c:v>
                </c:pt>
                <c:pt idx="15">
                  <c:v>20556.130108423687</c:v>
                </c:pt>
                <c:pt idx="16">
                  <c:v>21997.139141742522</c:v>
                </c:pt>
                <c:pt idx="17">
                  <c:v>22917.634523175278</c:v>
                </c:pt>
                <c:pt idx="18">
                  <c:v>20504.314720812181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3-49ED-8EFF-A28E8185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12992"/>
        <c:axId val="241010752"/>
      </c:lineChart>
      <c:dateAx>
        <c:axId val="241012992"/>
        <c:scaling>
          <c:orientation val="maxMin"/>
        </c:scaling>
        <c:delete val="1"/>
        <c:axPos val="b"/>
        <c:numFmt formatCode="mmm\ yyyy" sourceLinked="0"/>
        <c:majorTickMark val="out"/>
        <c:minorTickMark val="none"/>
        <c:tickLblPos val="nextTo"/>
        <c:crossAx val="241010752"/>
        <c:crosses val="autoZero"/>
        <c:auto val="1"/>
        <c:lblOffset val="100"/>
        <c:baseTimeUnit val="days"/>
        <c:majorUnit val="1"/>
        <c:majorTimeUnit val="months"/>
      </c:dateAx>
      <c:valAx>
        <c:axId val="241010752"/>
        <c:scaling>
          <c:orientation val="minMax"/>
        </c:scaling>
        <c:delete val="0"/>
        <c:axPos val="r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###0.00\ &quot;ر.س.‏&quot;" sourceLinked="0"/>
        <c:majorTickMark val="out"/>
        <c:minorTickMark val="none"/>
        <c:tickLblPos val="nextTo"/>
        <c:crossAx val="2410129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spc="50" baseline="0">
          <a:solidFill>
            <a:schemeClr val="tx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'إدخال البيانات'!$P$5</c:f>
              <c:strCache>
                <c:ptCount val="1"/>
                <c:pt idx="0">
                  <c:v>ربع سنوي 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البيانات'!$P$6:$P$24</c:f>
              <c:numCache>
                <c:formatCode>###0.00\ "ر.س.‏"</c:formatCode>
                <c:ptCount val="19"/>
                <c:pt idx="0">
                  <c:v>50800</c:v>
                </c:pt>
                <c:pt idx="1">
                  <c:v>50800</c:v>
                </c:pt>
                <c:pt idx="2">
                  <c:v>50800</c:v>
                </c:pt>
                <c:pt idx="3">
                  <c:v>50800</c:v>
                </c:pt>
                <c:pt idx="4">
                  <c:v>50800</c:v>
                </c:pt>
                <c:pt idx="5">
                  <c:v>50800</c:v>
                </c:pt>
                <c:pt idx="6">
                  <c:v>50800</c:v>
                </c:pt>
                <c:pt idx="7">
                  <c:v>50800</c:v>
                </c:pt>
                <c:pt idx="8">
                  <c:v>47400</c:v>
                </c:pt>
                <c:pt idx="9">
                  <c:v>47400</c:v>
                </c:pt>
                <c:pt idx="10">
                  <c:v>47400.000000000007</c:v>
                </c:pt>
                <c:pt idx="11">
                  <c:v>47400</c:v>
                </c:pt>
                <c:pt idx="12">
                  <c:v>47400</c:v>
                </c:pt>
                <c:pt idx="13">
                  <c:v>47400</c:v>
                </c:pt>
                <c:pt idx="14">
                  <c:v>43258.139534883725</c:v>
                </c:pt>
                <c:pt idx="15">
                  <c:v>42312.903225806447</c:v>
                </c:pt>
                <c:pt idx="16">
                  <c:v>41811.111111111109</c:v>
                </c:pt>
                <c:pt idx="17">
                  <c:v>41500</c:v>
                </c:pt>
                <c:pt idx="18">
                  <c:v>41288.23529411765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B6C-AC8F-E2F68F193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95120"/>
        <c:axId val="240395680"/>
      </c:lineChart>
      <c:dateAx>
        <c:axId val="240395120"/>
        <c:scaling>
          <c:orientation val="maxMin"/>
        </c:scaling>
        <c:delete val="1"/>
        <c:axPos val="b"/>
        <c:numFmt formatCode="mmm\ yyyy" sourceLinked="0"/>
        <c:majorTickMark val="out"/>
        <c:minorTickMark val="none"/>
        <c:tickLblPos val="nextTo"/>
        <c:crossAx val="240395680"/>
        <c:crosses val="autoZero"/>
        <c:auto val="1"/>
        <c:lblOffset val="100"/>
        <c:baseTimeUnit val="days"/>
        <c:majorUnit val="1"/>
        <c:majorTimeUnit val="months"/>
      </c:dateAx>
      <c:valAx>
        <c:axId val="240395680"/>
        <c:scaling>
          <c:orientation val="minMax"/>
        </c:scaling>
        <c:delete val="0"/>
        <c:axPos val="r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###0.00\ &quot;ر.س.‏&quot;" sourceLinked="0"/>
        <c:majorTickMark val="out"/>
        <c:minorTickMark val="none"/>
        <c:tickLblPos val="nextTo"/>
        <c:crossAx val="2403951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spc="50" baseline="0">
          <a:solidFill>
            <a:schemeClr val="tx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'إدخال البيانات'!$Q$5</c:f>
              <c:strCache>
                <c:ptCount val="1"/>
                <c:pt idx="0">
                  <c:v>سنوي 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البيانات'!$Q$6:$Q$24</c:f>
              <c:numCache>
                <c:formatCode>###0.00\ "ر.س.‏"</c:formatCode>
                <c:ptCount val="19"/>
                <c:pt idx="0">
                  <c:v>143800</c:v>
                </c:pt>
                <c:pt idx="1">
                  <c:v>143800</c:v>
                </c:pt>
                <c:pt idx="2">
                  <c:v>143800</c:v>
                </c:pt>
                <c:pt idx="3">
                  <c:v>143800</c:v>
                </c:pt>
                <c:pt idx="4">
                  <c:v>143800</c:v>
                </c:pt>
                <c:pt idx="5">
                  <c:v>143800</c:v>
                </c:pt>
                <c:pt idx="6">
                  <c:v>143800</c:v>
                </c:pt>
                <c:pt idx="7">
                  <c:v>143800</c:v>
                </c:pt>
                <c:pt idx="8">
                  <c:v>143800</c:v>
                </c:pt>
                <c:pt idx="9">
                  <c:v>143800</c:v>
                </c:pt>
                <c:pt idx="10">
                  <c:v>143800</c:v>
                </c:pt>
                <c:pt idx="11">
                  <c:v>143800</c:v>
                </c:pt>
                <c:pt idx="12">
                  <c:v>143800</c:v>
                </c:pt>
                <c:pt idx="13">
                  <c:v>143800</c:v>
                </c:pt>
                <c:pt idx="14">
                  <c:v>143800</c:v>
                </c:pt>
                <c:pt idx="15">
                  <c:v>143800</c:v>
                </c:pt>
                <c:pt idx="16">
                  <c:v>143800</c:v>
                </c:pt>
                <c:pt idx="17">
                  <c:v>143800</c:v>
                </c:pt>
                <c:pt idx="18">
                  <c:v>143800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7-42CB-B947-8E3552F0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99040"/>
        <c:axId val="240396240"/>
      </c:lineChart>
      <c:dateAx>
        <c:axId val="240399040"/>
        <c:scaling>
          <c:orientation val="maxMin"/>
        </c:scaling>
        <c:delete val="1"/>
        <c:axPos val="b"/>
        <c:numFmt formatCode="mmm\ yyyy" sourceLinked="0"/>
        <c:majorTickMark val="out"/>
        <c:minorTickMark val="none"/>
        <c:tickLblPos val="nextTo"/>
        <c:crossAx val="240396240"/>
        <c:crosses val="autoZero"/>
        <c:auto val="1"/>
        <c:lblOffset val="100"/>
        <c:baseTimeUnit val="days"/>
        <c:majorUnit val="1"/>
        <c:majorTimeUnit val="months"/>
      </c:dateAx>
      <c:valAx>
        <c:axId val="240396240"/>
        <c:scaling>
          <c:orientation val="minMax"/>
        </c:scaling>
        <c:delete val="0"/>
        <c:axPos val="r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###0.00\ &quot;ر.س.‏&quot;" sourceLinked="0"/>
        <c:majorTickMark val="out"/>
        <c:minorTickMark val="none"/>
        <c:tickLblPos val="nextTo"/>
        <c:crossAx val="2403990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spc="60" baseline="0">
          <a:solidFill>
            <a:schemeClr val="tx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'إدخال البيانات'!$G$5</c:f>
              <c:strCache>
                <c:ptCount val="1"/>
                <c:pt idx="0">
                  <c:v>العائد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'إدخال البيانات'!$B$6:$B$24</c:f>
              <c:numCache>
                <c:formatCode>yy/mm/dd</c:formatCode>
                <c:ptCount val="19"/>
                <c:pt idx="0">
                  <c:v>41387</c:v>
                </c:pt>
                <c:pt idx="1">
                  <c:v>41389</c:v>
                </c:pt>
                <c:pt idx="2">
                  <c:v>41401</c:v>
                </c:pt>
                <c:pt idx="3">
                  <c:v>41408</c:v>
                </c:pt>
                <c:pt idx="4">
                  <c:v>41408</c:v>
                </c:pt>
                <c:pt idx="5">
                  <c:v>41423</c:v>
                </c:pt>
                <c:pt idx="6">
                  <c:v>41435</c:v>
                </c:pt>
                <c:pt idx="7">
                  <c:v>41446</c:v>
                </c:pt>
                <c:pt idx="8">
                  <c:v>41461</c:v>
                </c:pt>
                <c:pt idx="9">
                  <c:v>41491</c:v>
                </c:pt>
                <c:pt idx="10">
                  <c:v>41505</c:v>
                </c:pt>
                <c:pt idx="11">
                  <c:v>41521</c:v>
                </c:pt>
                <c:pt idx="12">
                  <c:v>41537</c:v>
                </c:pt>
                <c:pt idx="13">
                  <c:v>41542</c:v>
                </c:pt>
                <c:pt idx="14">
                  <c:v>41562</c:v>
                </c:pt>
                <c:pt idx="15">
                  <c:v>41583</c:v>
                </c:pt>
                <c:pt idx="16">
                  <c:v>41604</c:v>
                </c:pt>
                <c:pt idx="17">
                  <c:v>41608</c:v>
                </c:pt>
                <c:pt idx="18">
                  <c:v>41619</c:v>
                </c:pt>
              </c:numCache>
            </c:numRef>
          </c:cat>
          <c:val>
            <c:numRef>
              <c:f>'إدخال البيانات'!$G$6:$G$24</c:f>
              <c:numCache>
                <c:formatCode>###0.00\ "ر.س.‏"</c:formatCode>
                <c:ptCount val="19"/>
                <c:pt idx="0">
                  <c:v>1950</c:v>
                </c:pt>
                <c:pt idx="1">
                  <c:v>1800</c:v>
                </c:pt>
                <c:pt idx="2">
                  <c:v>1800</c:v>
                </c:pt>
                <c:pt idx="3">
                  <c:v>900</c:v>
                </c:pt>
                <c:pt idx="4">
                  <c:v>1300</c:v>
                </c:pt>
                <c:pt idx="5">
                  <c:v>1700</c:v>
                </c:pt>
                <c:pt idx="6">
                  <c:v>1500</c:v>
                </c:pt>
                <c:pt idx="7">
                  <c:v>1000</c:v>
                </c:pt>
                <c:pt idx="8">
                  <c:v>1450</c:v>
                </c:pt>
                <c:pt idx="9">
                  <c:v>1400</c:v>
                </c:pt>
                <c:pt idx="10">
                  <c:v>1300</c:v>
                </c:pt>
                <c:pt idx="11">
                  <c:v>1200</c:v>
                </c:pt>
                <c:pt idx="12">
                  <c:v>1100</c:v>
                </c:pt>
                <c:pt idx="13">
                  <c:v>1800</c:v>
                </c:pt>
                <c:pt idx="14">
                  <c:v>1700</c:v>
                </c:pt>
                <c:pt idx="15">
                  <c:v>1250</c:v>
                </c:pt>
                <c:pt idx="16">
                  <c:v>1425</c:v>
                </c:pt>
                <c:pt idx="17">
                  <c:v>1650</c:v>
                </c:pt>
                <c:pt idx="18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2D4-A10A-833CACE9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01280"/>
        <c:axId val="240400720"/>
      </c:lineChart>
      <c:dateAx>
        <c:axId val="240401280"/>
        <c:scaling>
          <c:orientation val="maxMin"/>
        </c:scaling>
        <c:delete val="1"/>
        <c:axPos val="b"/>
        <c:numFmt formatCode="mmm\ yyyy" sourceLinked="0"/>
        <c:majorTickMark val="out"/>
        <c:minorTickMark val="none"/>
        <c:tickLblPos val="nextTo"/>
        <c:crossAx val="240400720"/>
        <c:crosses val="autoZero"/>
        <c:auto val="1"/>
        <c:lblOffset val="100"/>
        <c:baseTimeUnit val="days"/>
        <c:majorUnit val="1"/>
        <c:majorTimeUnit val="months"/>
      </c:dateAx>
      <c:valAx>
        <c:axId val="240400720"/>
        <c:scaling>
          <c:orientation val="minMax"/>
        </c:scaling>
        <c:delete val="0"/>
        <c:axPos val="r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&quot;ر.س.‏&quot;\ ###0.00_-" sourceLinked="0"/>
        <c:majorTickMark val="out"/>
        <c:minorTickMark val="none"/>
        <c:tickLblPos val="nextTo"/>
        <c:crossAx val="2404012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spc="50" baseline="0">
          <a:solidFill>
            <a:schemeClr val="tx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78;&#1606;&#1576;&#1572; &#1576;&#1575;&#1604;&#1605;&#1576;&#1610;&#1593;&#1575;&#1578;'!A1"/><Relationship Id="rId1" Type="http://schemas.openxmlformats.org/officeDocument/2006/relationships/hyperlink" Target="#'&#1578;&#1602;&#1585;&#1610;&#1585; &#1575;&#1604;&#1605;&#1576;&#1610;&#1593;&#1575;&#1578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78;&#1606;&#1576;&#1572; &#1576;&#1575;&#1604;&#1605;&#1576;&#1610;&#1593;&#1575;&#1578;'!A1"/><Relationship Id="rId1" Type="http://schemas.openxmlformats.org/officeDocument/2006/relationships/hyperlink" Target="#'&#1573;&#1583;&#1582;&#1575;&#1604; &#1576;&#1610;&#1575;&#1606;&#1575;&#1578;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'&#1578;&#1602;&#1585;&#1610;&#1585; &#1575;&#1604;&#1605;&#1576;&#1610;&#1593;&#1575;&#1578;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&#1573;&#1583;&#1582;&#1575;&#1604; &#1576;&#1610;&#1575;&#1606;&#1575;&#1578;'!A1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</xdr:row>
      <xdr:rowOff>85725</xdr:rowOff>
    </xdr:from>
    <xdr:to>
      <xdr:col>6</xdr:col>
      <xdr:colOff>849250</xdr:colOff>
      <xdr:row>1</xdr:row>
      <xdr:rowOff>314325</xdr:rowOff>
    </xdr:to>
    <xdr:sp macro="" textlink="">
      <xdr:nvSpPr>
        <xdr:cNvPr id="2" name="تقرير المبيعات" descr="انقر لعرض ورقة تقرير المبيعات." title="زر تنقل تقرير المبيعات">
          <a:hlinkClick xmlns:r="http://schemas.openxmlformats.org/officeDocument/2006/relationships" r:id="rId1" tooltip="انقر لعرض ورقة تقرير المبيعات."/>
          <a:extLst>
            <a:ext uri="{FF2B5EF4-FFF2-40B4-BE49-F238E27FC236}">
              <a16:creationId xmlns:a16="http://schemas.microsoft.com/office/drawing/2014/main" id="{205FB30C-A689-4259-B6CF-5F40C9DA85EC}"/>
            </a:ext>
          </a:extLst>
        </xdr:cNvPr>
        <xdr:cNvSpPr/>
      </xdr:nvSpPr>
      <xdr:spPr>
        <a:xfrm flipH="1">
          <a:off x="8735490275" y="228600"/>
          <a:ext cx="592074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تقرير المبيعات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6</xdr:col>
      <xdr:colOff>904875</xdr:colOff>
      <xdr:row>1</xdr:row>
      <xdr:rowOff>85726</xdr:rowOff>
    </xdr:from>
    <xdr:to>
      <xdr:col>8</xdr:col>
      <xdr:colOff>413004</xdr:colOff>
      <xdr:row>1</xdr:row>
      <xdr:rowOff>314326</xdr:rowOff>
    </xdr:to>
    <xdr:sp macro="" textlink="">
      <xdr:nvSpPr>
        <xdr:cNvPr id="3" name="التنبؤ بالمبيعات" descr="انقر لعرض ورقة التنبؤ بالمبيعات." title="زر تنقل التنبؤ بالمبيعات">
          <a:hlinkClick xmlns:r="http://schemas.openxmlformats.org/officeDocument/2006/relationships" r:id="rId2" tooltip="انقر لعرض ورقة التنبؤ بالمبيعات."/>
          <a:extLst>
            <a:ext uri="{FF2B5EF4-FFF2-40B4-BE49-F238E27FC236}">
              <a16:creationId xmlns:a16="http://schemas.microsoft.com/office/drawing/2014/main" id="{B36D42E6-C842-4693-BE69-CDBBF1591DDB}"/>
            </a:ext>
          </a:extLst>
        </xdr:cNvPr>
        <xdr:cNvSpPr/>
      </xdr:nvSpPr>
      <xdr:spPr>
        <a:xfrm flipH="1">
          <a:off x="8734545396" y="228601"/>
          <a:ext cx="946404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التنبؤ بالمبيعات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1704976</xdr:colOff>
      <xdr:row>1</xdr:row>
      <xdr:rowOff>85725</xdr:rowOff>
    </xdr:from>
    <xdr:to>
      <xdr:col>5</xdr:col>
      <xdr:colOff>563500</xdr:colOff>
      <xdr:row>1</xdr:row>
      <xdr:rowOff>314325</xdr:rowOff>
    </xdr:to>
    <xdr:sp macro="" textlink="">
      <xdr:nvSpPr>
        <xdr:cNvPr id="2" name="تقرير المبيعات" descr="انقر لعرض ورقة إدخال البيانات." title="زر تنقل إدخال البيانات">
          <a:hlinkClick xmlns:r="http://schemas.openxmlformats.org/officeDocument/2006/relationships" r:id="rId1" tooltip="انقر لعرض ورقة إدخال البيانات."/>
          <a:extLst>
            <a:ext uri="{FF2B5EF4-FFF2-40B4-BE49-F238E27FC236}">
              <a16:creationId xmlns:a16="http://schemas.microsoft.com/office/drawing/2014/main" id="{809F0718-2755-4F58-981C-C6B2448B4DA2}"/>
            </a:ext>
          </a:extLst>
        </xdr:cNvPr>
        <xdr:cNvSpPr/>
      </xdr:nvSpPr>
      <xdr:spPr>
        <a:xfrm flipH="1">
          <a:off x="8736023675" y="228600"/>
          <a:ext cx="534924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إدخال البيانات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5</xdr:col>
      <xdr:colOff>619125</xdr:colOff>
      <xdr:row>1</xdr:row>
      <xdr:rowOff>85726</xdr:rowOff>
    </xdr:from>
    <xdr:to>
      <xdr:col>6</xdr:col>
      <xdr:colOff>365379</xdr:colOff>
      <xdr:row>1</xdr:row>
      <xdr:rowOff>314326</xdr:rowOff>
    </xdr:to>
    <xdr:sp macro="" textlink="">
      <xdr:nvSpPr>
        <xdr:cNvPr id="3" name="التنبؤ بالمبيعات" descr="انقر لعرض ورقة التنبؤ بالمبيعات." title="زر تنقل التنبؤ بالمبيعات">
          <a:hlinkClick xmlns:r="http://schemas.openxmlformats.org/officeDocument/2006/relationships" r:id="rId2" tooltip="انقر لعرض ورقة التنبؤ بالمبيعات."/>
          <a:extLst>
            <a:ext uri="{FF2B5EF4-FFF2-40B4-BE49-F238E27FC236}">
              <a16:creationId xmlns:a16="http://schemas.microsoft.com/office/drawing/2014/main" id="{625E37A5-C4A2-46EA-A5BE-7B9A535083E0}"/>
            </a:ext>
          </a:extLst>
        </xdr:cNvPr>
        <xdr:cNvSpPr/>
      </xdr:nvSpPr>
      <xdr:spPr>
        <a:xfrm flipH="1">
          <a:off x="8735659821" y="228601"/>
          <a:ext cx="365379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التنبؤ بالمبيعات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15</xdr:row>
      <xdr:rowOff>114300</xdr:rowOff>
    </xdr:from>
    <xdr:to>
      <xdr:col>9</xdr:col>
      <xdr:colOff>876299</xdr:colOff>
      <xdr:row>27</xdr:row>
      <xdr:rowOff>142875</xdr:rowOff>
    </xdr:to>
    <xdr:graphicFrame macro="">
      <xdr:nvGraphicFramePr>
        <xdr:cNvPr id="2" name="محفوظات المبيعات" descr="مخطط محفوظات المبيعات" title="مخطط">
          <a:extLst>
            <a:ext uri="{FF2B5EF4-FFF2-40B4-BE49-F238E27FC236}">
              <a16:creationId xmlns:a16="http://schemas.microsoft.com/office/drawing/2014/main" id="{CCDCFDB6-503E-4F88-958A-ABABB45C0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30</xdr:row>
      <xdr:rowOff>9525</xdr:rowOff>
    </xdr:from>
    <xdr:to>
      <xdr:col>5</xdr:col>
      <xdr:colOff>904875</xdr:colOff>
      <xdr:row>35</xdr:row>
      <xdr:rowOff>92919</xdr:rowOff>
    </xdr:to>
    <xdr:graphicFrame macro="">
      <xdr:nvGraphicFramePr>
        <xdr:cNvPr id="3" name="التنبؤ خلال الشهر" descr="مخطط التنبؤ خلال الشهر" title="مخطط">
          <a:extLst>
            <a:ext uri="{FF2B5EF4-FFF2-40B4-BE49-F238E27FC236}">
              <a16:creationId xmlns:a16="http://schemas.microsoft.com/office/drawing/2014/main" id="{2833712B-1CCF-4FD6-91EF-336C57325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30</xdr:row>
      <xdr:rowOff>9525</xdr:rowOff>
    </xdr:from>
    <xdr:to>
      <xdr:col>9</xdr:col>
      <xdr:colOff>871537</xdr:colOff>
      <xdr:row>35</xdr:row>
      <xdr:rowOff>92919</xdr:rowOff>
    </xdr:to>
    <xdr:graphicFrame macro="">
      <xdr:nvGraphicFramePr>
        <xdr:cNvPr id="4" name="التنبؤ خلال الربع" descr="مخطط التنبؤ خلال الربع" title="مخطط">
          <a:extLst>
            <a:ext uri="{FF2B5EF4-FFF2-40B4-BE49-F238E27FC236}">
              <a16:creationId xmlns:a16="http://schemas.microsoft.com/office/drawing/2014/main" id="{A7637EA4-DE0C-4AFC-B905-FA98A3D3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38</xdr:row>
      <xdr:rowOff>9526</xdr:rowOff>
    </xdr:from>
    <xdr:to>
      <xdr:col>5</xdr:col>
      <xdr:colOff>904875</xdr:colOff>
      <xdr:row>43</xdr:row>
      <xdr:rowOff>57151</xdr:rowOff>
    </xdr:to>
    <xdr:graphicFrame macro="">
      <xdr:nvGraphicFramePr>
        <xdr:cNvPr id="5" name="التنبؤ خلال السنة" descr="مخطط التنبؤ خلال السنة" title="مخطط">
          <a:extLst>
            <a:ext uri="{FF2B5EF4-FFF2-40B4-BE49-F238E27FC236}">
              <a16:creationId xmlns:a16="http://schemas.microsoft.com/office/drawing/2014/main" id="{5758B420-335E-4164-B767-992150C61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348986</xdr:colOff>
      <xdr:row>38</xdr:row>
      <xdr:rowOff>9526</xdr:rowOff>
    </xdr:from>
    <xdr:to>
      <xdr:col>9</xdr:col>
      <xdr:colOff>874764</xdr:colOff>
      <xdr:row>43</xdr:row>
      <xdr:rowOff>64345</xdr:rowOff>
    </xdr:to>
    <xdr:graphicFrame macro="">
      <xdr:nvGraphicFramePr>
        <xdr:cNvPr id="6" name="تدفق العائد" descr="مخطط تدفق العائد" title="مخطط">
          <a:extLst>
            <a:ext uri="{FF2B5EF4-FFF2-40B4-BE49-F238E27FC236}">
              <a16:creationId xmlns:a16="http://schemas.microsoft.com/office/drawing/2014/main" id="{B0636951-3E75-49F5-A7D9-1AC1061AC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504825</xdr:colOff>
      <xdr:row>1</xdr:row>
      <xdr:rowOff>85725</xdr:rowOff>
    </xdr:from>
    <xdr:to>
      <xdr:col>6</xdr:col>
      <xdr:colOff>696849</xdr:colOff>
      <xdr:row>1</xdr:row>
      <xdr:rowOff>314325</xdr:rowOff>
    </xdr:to>
    <xdr:sp macro="" textlink="">
      <xdr:nvSpPr>
        <xdr:cNvPr id="7" name="تقرير المبيعات" descr="انقر لعرض ورقة إدخال البيانات." title="زر تنقل إدخال البيانات">
          <a:hlinkClick xmlns:r="http://schemas.openxmlformats.org/officeDocument/2006/relationships" r:id="rId6" tooltip="انقر لعرض ورقة إدخال البيانات."/>
          <a:extLst>
            <a:ext uri="{FF2B5EF4-FFF2-40B4-BE49-F238E27FC236}">
              <a16:creationId xmlns:a16="http://schemas.microsoft.com/office/drawing/2014/main" id="{DBE8CBFE-5A84-48A4-95EC-A033F6D7EA05}"/>
            </a:ext>
          </a:extLst>
        </xdr:cNvPr>
        <xdr:cNvSpPr/>
      </xdr:nvSpPr>
      <xdr:spPr>
        <a:xfrm flipH="1">
          <a:off x="8735490276" y="228600"/>
          <a:ext cx="563499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إدخال بيانات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6</xdr:col>
      <xdr:colOff>752475</xdr:colOff>
      <xdr:row>1</xdr:row>
      <xdr:rowOff>85726</xdr:rowOff>
    </xdr:from>
    <xdr:to>
      <xdr:col>7</xdr:col>
      <xdr:colOff>243053</xdr:colOff>
      <xdr:row>1</xdr:row>
      <xdr:rowOff>314326</xdr:rowOff>
    </xdr:to>
    <xdr:sp macro="" textlink="">
      <xdr:nvSpPr>
        <xdr:cNvPr id="8" name="التنبؤ بالمبيعات" descr="انقر لعرض ورقة تقرير المبيعات." title="زر تنقل تقرير المبيعات">
          <a:hlinkClick xmlns:r="http://schemas.openxmlformats.org/officeDocument/2006/relationships" r:id="rId7" tooltip="انقر لعرض ورقة تقرير المبيعات."/>
          <a:extLst>
            <a:ext uri="{FF2B5EF4-FFF2-40B4-BE49-F238E27FC236}">
              <a16:creationId xmlns:a16="http://schemas.microsoft.com/office/drawing/2014/main" id="{F5088A7C-FF13-4435-B0F6-A2AC57A9BBE6}"/>
            </a:ext>
          </a:extLst>
        </xdr:cNvPr>
        <xdr:cNvSpPr/>
      </xdr:nvSpPr>
      <xdr:spPr>
        <a:xfrm flipH="1">
          <a:off x="8735248747" y="228601"/>
          <a:ext cx="243053" cy="5715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0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تقرير المبيعات</a:t>
          </a:r>
          <a:endParaRPr lang="en-US" sz="10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f02930046_win32%20(1)2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o Ibrahiem" refreshedDate="44726.688484375001" createdVersion="5" refreshedVersion="7" minRefreshableVersion="3" recordCount="19" xr:uid="{3932E441-7C10-4CDD-9A17-0D47138F49F2}">
  <cacheSource type="worksheet">
    <worksheetSource name="tblData" r:id="rId2"/>
  </cacheSource>
  <cacheFields count="16">
    <cacheField name="‎التاريخ" numFmtId="169">
      <sharedItems containsSemiMixedTypes="0" containsNonDate="0" containsDate="1" containsString="0" minDate="2013-04-23T00:00:00" maxDate="2013-12-12T00:00:00"/>
    </cacheField>
    <cacheField name="الشركة" numFmtId="0">
      <sharedItems count="6">
        <s v="شركة القمر المنير"/>
        <s v="القمر المنير للصيدلة"/>
        <s v="الشركة الوطنية للإنتاج"/>
        <s v=" مسرح الشركة الوطنية"/>
        <s v="الشركة الوطنية"/>
        <s v="الأخبار الرياضية"/>
      </sharedItems>
    </cacheField>
    <cacheField name="المبلغ" numFmtId="165">
      <sharedItems containsSemiMixedTypes="0" containsString="0" containsNumber="1" containsInteger="1" minValue="4400" maxValue="9500"/>
    </cacheField>
    <cacheField name="المخطط" numFmtId="165">
      <sharedItems containsSemiMixedTypes="0" containsString="0" containsNumber="1" containsInteger="1" minValue="4200" maxValue="10000"/>
    </cacheField>
    <cacheField name="التكلفة" numFmtId="165">
      <sharedItems containsSemiMixedTypes="0" containsString="0" containsNumber="1" containsInteger="1" minValue="2600" maxValue="8500"/>
    </cacheField>
    <cacheField name="العائد" numFmtId="165">
      <sharedItems containsSemiMixedTypes="0" containsString="0" containsNumber="1" containsInteger="1" minValue="900" maxValue="1950"/>
    </cacheField>
    <cacheField name="الشهر" numFmtId="168">
      <sharedItems containsSemiMixedTypes="0" containsNonDate="0" containsDate="1" containsString="0" minDate="2013-04-01T00:00:00" maxDate="2013-12-02T00:00:00" count="9"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الربع" numFmtId="167">
      <sharedItems containsSemiMixedTypes="0" containsString="0" containsNumber="1" containsInteger="1" minValue="2" maxValue="4" count="3">
        <n v="2"/>
        <n v="3"/>
        <n v="4"/>
      </sharedItems>
    </cacheField>
    <cacheField name="السة" numFmtId="0">
      <sharedItems containsSemiMixedTypes="0" containsString="0" containsNumber="1" containsInteger="1" minValue="2013" maxValue="2013"/>
    </cacheField>
    <cacheField name="MONTH NUM (HIDE)" numFmtId="0">
      <sharedItems containsSemiMixedTypes="0" containsString="0" containsNumber="1" containsInteger="1" minValue="4" maxValue="12"/>
    </cacheField>
    <cacheField name="شهري" numFmtId="165">
      <sharedItems containsSemiMixedTypes="0" containsString="0" containsNumber="1" containsInteger="1" minValue="8700" maxValue="25600"/>
    </cacheField>
    <cacheField name="ربع سنوي" numFmtId="165">
      <sharedItems containsSemiMixedTypes="0" containsString="0" containsNumber="1" containsInteger="1" minValue="43900" maxValue="50800"/>
    </cacheField>
    <cacheField name="سنوي" numFmtId="165">
      <sharedItems containsSemiMixedTypes="0" containsString="0" containsNumber="1" containsInteger="1" minValue="143800" maxValue="143800"/>
    </cacheField>
    <cacheField name="شهري " numFmtId="165">
      <sharedItems containsSemiMixedTypes="0" containsString="0" containsNumber="1" minValue="10776.470588235294" maxValue="29000"/>
    </cacheField>
    <cacheField name="ربع سنوي " numFmtId="165">
      <sharedItems containsSemiMixedTypes="0" containsString="0" containsNumber="1" minValue="41288.23529411765" maxValue="50800"/>
    </cacheField>
    <cacheField name="سنوي " numFmtId="165">
      <sharedItems containsSemiMixedTypes="0" containsString="0" containsNumber="1" containsInteger="1" minValue="143800" maxValue="143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d v="2013-04-23T00:00:00"/>
    <x v="0"/>
    <n v="6400"/>
    <n v="6200"/>
    <n v="4450"/>
    <n v="1950"/>
    <x v="0"/>
    <x v="0"/>
    <n v="2013"/>
    <n v="4"/>
    <n v="14600"/>
    <n v="50800"/>
    <n v="143800"/>
    <n v="14600"/>
    <n v="50800"/>
    <n v="143800"/>
  </r>
  <r>
    <d v="2013-04-25T00:00:00"/>
    <x v="1"/>
    <n v="8200"/>
    <n v="8000"/>
    <n v="6400"/>
    <n v="1800"/>
    <x v="0"/>
    <x v="0"/>
    <n v="2013"/>
    <n v="4"/>
    <n v="14600"/>
    <n v="50800"/>
    <n v="143800"/>
    <n v="14600"/>
    <n v="50800"/>
    <n v="143800"/>
  </r>
  <r>
    <d v="2013-05-07T00:00:00"/>
    <x v="2"/>
    <n v="4400"/>
    <n v="4200"/>
    <n v="2600"/>
    <n v="1800"/>
    <x v="1"/>
    <x v="0"/>
    <n v="2013"/>
    <n v="5"/>
    <n v="21800"/>
    <n v="50800"/>
    <n v="143800"/>
    <n v="28999.999999999996"/>
    <n v="50800"/>
    <n v="143800"/>
  </r>
  <r>
    <d v="2013-05-14T00:00:00"/>
    <x v="3"/>
    <n v="5400"/>
    <n v="5500"/>
    <n v="4500"/>
    <n v="900"/>
    <x v="1"/>
    <x v="0"/>
    <n v="2013"/>
    <n v="5"/>
    <n v="21800"/>
    <n v="50800"/>
    <n v="143800"/>
    <n v="29000"/>
    <n v="50800"/>
    <n v="143800"/>
  </r>
  <r>
    <d v="2013-05-14T00:00:00"/>
    <x v="4"/>
    <n v="5800"/>
    <n v="6000"/>
    <n v="4500"/>
    <n v="1300"/>
    <x v="1"/>
    <x v="0"/>
    <n v="2013"/>
    <n v="5"/>
    <n v="21800"/>
    <n v="50800"/>
    <n v="143800"/>
    <n v="29000"/>
    <n v="50800"/>
    <n v="143800"/>
  </r>
  <r>
    <d v="2013-05-29T00:00:00"/>
    <x v="5"/>
    <n v="6200"/>
    <n v="6000"/>
    <n v="4500"/>
    <n v="1700"/>
    <x v="1"/>
    <x v="0"/>
    <n v="2013"/>
    <n v="5"/>
    <n v="21800"/>
    <n v="50800"/>
    <n v="143800"/>
    <n v="29000"/>
    <n v="50800"/>
    <n v="143800"/>
  </r>
  <r>
    <d v="2013-06-10T00:00:00"/>
    <x v="0"/>
    <n v="6900"/>
    <n v="7500"/>
    <n v="5400"/>
    <n v="1500"/>
    <x v="2"/>
    <x v="0"/>
    <n v="2013"/>
    <n v="6"/>
    <n v="14400"/>
    <n v="50800"/>
    <n v="143800"/>
    <n v="21600.000000000004"/>
    <n v="50800"/>
    <n v="143800"/>
  </r>
  <r>
    <d v="2013-06-21T00:00:00"/>
    <x v="1"/>
    <n v="7500"/>
    <n v="7200"/>
    <n v="6500"/>
    <n v="1000"/>
    <x v="2"/>
    <x v="0"/>
    <n v="2013"/>
    <n v="6"/>
    <n v="14400"/>
    <n v="50800"/>
    <n v="143800"/>
    <n v="17950"/>
    <n v="50800"/>
    <n v="143800"/>
  </r>
  <r>
    <d v="2013-07-06T00:00:00"/>
    <x v="2"/>
    <n v="8700"/>
    <n v="8500"/>
    <n v="7250"/>
    <n v="1450"/>
    <x v="3"/>
    <x v="1"/>
    <n v="2013"/>
    <n v="7"/>
    <n v="8700"/>
    <n v="49100"/>
    <n v="143800"/>
    <n v="10776.470588235294"/>
    <n v="47400"/>
    <n v="143800"/>
  </r>
  <r>
    <d v="2013-08-05T00:00:00"/>
    <x v="3"/>
    <n v="8500"/>
    <n v="8300"/>
    <n v="7100"/>
    <n v="1400"/>
    <x v="4"/>
    <x v="1"/>
    <n v="2013"/>
    <n v="8"/>
    <n v="16400"/>
    <n v="49100"/>
    <n v="143800"/>
    <n v="12455.862068965516"/>
    <n v="47400"/>
    <n v="143800"/>
  </r>
  <r>
    <d v="2013-08-19T00:00:00"/>
    <x v="4"/>
    <n v="7900"/>
    <n v="7700"/>
    <n v="6600"/>
    <n v="1300"/>
    <x v="4"/>
    <x v="1"/>
    <n v="2013"/>
    <n v="8"/>
    <n v="16400"/>
    <n v="49100"/>
    <n v="143800"/>
    <n v="13667.567567567567"/>
    <n v="47400.000000000007"/>
    <n v="143800"/>
  </r>
  <r>
    <d v="2013-09-04T00:00:00"/>
    <x v="5"/>
    <n v="9100"/>
    <n v="8900"/>
    <n v="7900"/>
    <n v="1200"/>
    <x v="5"/>
    <x v="1"/>
    <n v="2013"/>
    <n v="9"/>
    <n v="24000"/>
    <n v="49100"/>
    <n v="143800"/>
    <n v="17651.666666666668"/>
    <n v="47400"/>
    <n v="143800"/>
  </r>
  <r>
    <d v="2013-09-20T00:00:00"/>
    <x v="1"/>
    <n v="5600"/>
    <n v="5800"/>
    <n v="4500"/>
    <n v="1100"/>
    <x v="5"/>
    <x v="1"/>
    <n v="2013"/>
    <n v="9"/>
    <n v="24000"/>
    <n v="49100"/>
    <n v="143800"/>
    <n v="19877.911646586344"/>
    <n v="47400"/>
    <n v="143800"/>
  </r>
  <r>
    <d v="2013-09-25T00:00:00"/>
    <x v="2"/>
    <n v="9300"/>
    <n v="9100"/>
    <n v="7500"/>
    <n v="1800"/>
    <x v="5"/>
    <x v="1"/>
    <n v="2013"/>
    <n v="9"/>
    <n v="24000"/>
    <n v="49100"/>
    <n v="143800"/>
    <n v="21138.050314465407"/>
    <n v="47400"/>
    <n v="143800"/>
  </r>
  <r>
    <d v="2013-10-15T00:00:00"/>
    <x v="3"/>
    <n v="8800"/>
    <n v="9350"/>
    <n v="7100"/>
    <n v="1700"/>
    <x v="6"/>
    <x v="2"/>
    <n v="2013"/>
    <n v="10"/>
    <n v="8800"/>
    <n v="43900"/>
    <n v="143800"/>
    <n v="17951.744186046511"/>
    <n v="43258.139534883725"/>
    <n v="143800"/>
  </r>
  <r>
    <d v="2013-11-05T00:00:00"/>
    <x v="4"/>
    <n v="9100"/>
    <n v="9200"/>
    <n v="7850"/>
    <n v="1250"/>
    <x v="7"/>
    <x v="2"/>
    <n v="2013"/>
    <n v="11"/>
    <n v="25600"/>
    <n v="43900"/>
    <n v="143800"/>
    <n v="20556.130108423687"/>
    <n v="42312.903225806447"/>
    <n v="143800"/>
  </r>
  <r>
    <d v="2013-11-26T00:00:00"/>
    <x v="5"/>
    <n v="9000"/>
    <n v="10000"/>
    <n v="7575"/>
    <n v="1425"/>
    <x v="7"/>
    <x v="2"/>
    <n v="2013"/>
    <n v="11"/>
    <n v="25600"/>
    <n v="43900"/>
    <n v="143800"/>
    <n v="21997.139141742522"/>
    <n v="41811.111111111109"/>
    <n v="143800"/>
  </r>
  <r>
    <d v="2013-11-30T00:00:00"/>
    <x v="5"/>
    <n v="7500"/>
    <n v="8000"/>
    <n v="5850"/>
    <n v="1650"/>
    <x v="7"/>
    <x v="2"/>
    <n v="2013"/>
    <n v="11"/>
    <n v="25600"/>
    <n v="43900"/>
    <n v="143800"/>
    <n v="22917.634523175278"/>
    <n v="41500"/>
    <n v="143800"/>
  </r>
  <r>
    <d v="2013-12-11T00:00:00"/>
    <x v="1"/>
    <n v="9500"/>
    <n v="9200"/>
    <n v="8500"/>
    <n v="1000"/>
    <x v="8"/>
    <x v="2"/>
    <n v="2013"/>
    <n v="12"/>
    <n v="9500"/>
    <n v="43900"/>
    <n v="143800"/>
    <n v="20504.314720812181"/>
    <n v="41288.23529411765"/>
    <n v="143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24D02-A46F-4FF4-B020-A127ECCA4B17}" name="ptSalesData" cacheId="0" applyNumberFormats="0" applyBorderFormats="0" applyFontFormats="0" applyPatternFormats="0" applyAlignmentFormats="0" applyWidthHeightFormats="1" dataCaption="Values" updatedVersion="7" minRefreshableVersion="3" showDrill="0" fieldPrintTitles="1" itemPrintTitles="1" createdVersion="4" indent="0" compact="0" compactData="0" multipleFieldFilters="0">
  <location ref="B5:E27" firstHeaderRow="1" firstDataRow="1" firstDataCol="3"/>
  <pivotFields count="16">
    <pivotField compact="0" numFmtId="14" outline="0" showAll="0" defaultSubtotal="0"/>
    <pivotField axis="axisRow" compact="0" outline="0" showAll="0" defaultSubtotal="0">
      <items count="6">
        <item x="3"/>
        <item x="5"/>
        <item x="4"/>
        <item x="2"/>
        <item x="1"/>
        <item x="0"/>
      </items>
    </pivotField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axis="axisRow" compact="0" numFmtId="168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subtotalCaption="إجمالي ?" compact="0" numFmtId="167" outline="0" showAll="0">
      <items count="4">
        <item x="0"/>
        <item x="1"/>
        <item x="2"/>
        <item t="default"/>
      </items>
    </pivotField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70" outline="0" showAll="0" defaultSubtotal="0"/>
    <pivotField compact="0" numFmtId="170" outline="0" showAll="0" defaultSubtotal="0"/>
    <pivotField compact="0" numFmtId="170" outline="0" showAll="0" defaultSubtotal="0"/>
  </pivotFields>
  <rowFields count="3">
    <field x="7"/>
    <field x="6"/>
    <field x="1"/>
  </rowFields>
  <rowItems count="22">
    <i>
      <x/>
      <x/>
      <x v="4"/>
    </i>
    <i r="2">
      <x v="5"/>
    </i>
    <i r="1">
      <x v="1"/>
      <x/>
    </i>
    <i r="2">
      <x v="1"/>
    </i>
    <i r="2">
      <x v="2"/>
    </i>
    <i r="2">
      <x v="3"/>
    </i>
    <i r="1">
      <x v="2"/>
      <x v="4"/>
    </i>
    <i r="2">
      <x v="5"/>
    </i>
    <i t="default">
      <x/>
    </i>
    <i>
      <x v="1"/>
      <x v="3"/>
      <x v="3"/>
    </i>
    <i r="1">
      <x v="4"/>
      <x/>
    </i>
    <i r="2">
      <x v="2"/>
    </i>
    <i r="1">
      <x v="5"/>
      <x v="1"/>
    </i>
    <i r="2">
      <x v="3"/>
    </i>
    <i r="2">
      <x v="4"/>
    </i>
    <i t="default">
      <x v="1"/>
    </i>
    <i>
      <x v="2"/>
      <x v="6"/>
      <x/>
    </i>
    <i r="1">
      <x v="7"/>
      <x v="1"/>
    </i>
    <i r="2">
      <x v="2"/>
    </i>
    <i r="1">
      <x v="8"/>
      <x v="4"/>
    </i>
    <i t="default">
      <x v="2"/>
    </i>
    <i t="grand">
      <x/>
    </i>
  </rowItems>
  <colItems count="1">
    <i/>
  </colItems>
  <dataFields count="1">
    <dataField name="مجموع المبيعات" fld="2" baseField="0" baseItem="0" numFmtId="165"/>
  </dataFields>
  <formats count="12">
    <format dxfId="14">
      <pivotArea dataOnly="0" labelOnly="1" outline="0" axis="axisValues" fieldPosition="0"/>
    </format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outline="0" axis="axisValues" fieldPosition="0"/>
    </format>
    <format dxfId="9">
      <pivotArea dataOnly="0" labelOnly="1" grandRow="1" outline="0" fieldPosition="0"/>
    </format>
    <format dxfId="8">
      <pivotArea outline="0" collapsedLevelsAreSubtotals="1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dataOnly="0" labelOnly="1" grandRow="1" outline="0" fieldPosition="0"/>
    </format>
    <format dxfId="3">
      <pivotArea outline="0" collapsedLevelsAreSubtotals="1" fieldPosition="0"/>
    </format>
  </formats>
  <pivotTableStyleInfo name="Monthly Sales Report PivotTable Sty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Monthly Sales Report PivotTable" altTextSummary="A PivotTable showing the monthly sales, grouped by Year, Quarter, Month, and Company along with the Total Sales for each group.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905228-418E-41C3-A141-93B4B9081F07}" name="tblData" displayName="tblData" ref="B5:Q24" totalsRowShown="0" headerRowDxfId="36" dataDxfId="35">
  <autoFilter ref="B5:Q24" xr:uid="{00000000-0009-0000-0100-000001000000}"/>
  <tableColumns count="16">
    <tableColumn id="1" xr3:uid="{00000000-0010-0000-0000-000001000000}" name="‎التاريخ" dataDxfId="34"/>
    <tableColumn id="2" xr3:uid="{00000000-0010-0000-0000-000002000000}" name="الشركة" dataDxfId="33"/>
    <tableColumn id="3" xr3:uid="{00000000-0010-0000-0000-000003000000}" name="المبلغ" dataDxfId="32"/>
    <tableColumn id="4" xr3:uid="{00000000-0010-0000-0000-000004000000}" name="المخطط" dataDxfId="31"/>
    <tableColumn id="5" xr3:uid="{00000000-0010-0000-0000-000005000000}" name="التكلفة" dataDxfId="30"/>
    <tableColumn id="16" xr3:uid="{00000000-0010-0000-0000-000010000000}" name="العائد" dataDxfId="29">
      <calculatedColumnFormula>tblData[[#This Row],[المبلغ]]-tblData[[#This Row],[التكلفة]]</calculatedColumnFormula>
    </tableColumn>
    <tableColumn id="6" xr3:uid="{00000000-0010-0000-0000-000006000000}" name="الشهر" dataDxfId="28">
      <calculatedColumnFormula>DATE(YEAR('إدخال البيانات'!$B6),MONTH('إدخال البيانات'!$B6),1)</calculatedColumnFormula>
    </tableColumn>
    <tableColumn id="7" xr3:uid="{00000000-0010-0000-0000-000007000000}" name="الربع" dataDxfId="27">
      <calculatedColumnFormula>LOOKUP(MONTH('إدخال البيانات'!$H6),{1,1;2,1;3,1;4,2;5,2;6,2;7,3;8,3;9,3;10,4;11,4;12,4})</calculatedColumnFormula>
    </tableColumn>
    <tableColumn id="8" xr3:uid="{00000000-0010-0000-0000-000008000000}" name="السة" dataDxfId="26">
      <calculatedColumnFormula>YEAR('إدخال البيانات'!$B6)</calculatedColumnFormula>
    </tableColumn>
    <tableColumn id="12" xr3:uid="{00000000-0010-0000-0000-00000C000000}" name="MONTH NUM (HIDE)" dataDxfId="25">
      <calculatedColumnFormula>MONTH(tblData[[#This Row],[‎التاريخ]])</calculatedColumnFormula>
    </tableColumn>
    <tableColumn id="9" xr3:uid="{00000000-0010-0000-0000-000009000000}" name="شهري" dataDxfId="24">
      <calculatedColumnFormula>SUMIFS(tblData[المبلغ],tblData[‎التاريخ],"&gt;="&amp;EOMONTH(tblData[[#This Row],[‎التاريخ]],-1)+1,tblData[‎التاريخ],"&lt;="&amp;EOMONTH(tblData[[#This Row],[‎التاريخ]],0))</calculatedColumnFormula>
    </tableColumn>
    <tableColumn id="10" xr3:uid="{00000000-0010-0000-0000-00000A000000}" name="ربع سنوي" dataDxfId="23">
      <calculatedColumnFormula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calculatedColumnFormula>
    </tableColumn>
    <tableColumn id="11" xr3:uid="{00000000-0010-0000-0000-00000B000000}" name="سنوي" dataDxfId="22">
      <calculatedColumnFormula>SUMIFS(tblData[المبلغ],tblData[‎التاريخ],"&gt;="&amp;DATE(YEAR(tblData[[#This Row],[‎التاريخ]]),1,1),tblData[‎التاريخ],"&lt;="&amp;DATE(YEAR(tblData[[#This Row],[‎التاريخ]]),12,31))</calculatedColumnFormula>
    </tableColumn>
    <tableColumn id="13" xr3:uid="{00000000-0010-0000-0000-00000D000000}" name="شهري " dataDxfId="21">
      <calculatedColumnFormula>IFERROR(TREND($L$6:INDEX($L:$L,ROW(),1),$K$6:INDEX($K:$K,ROW(),1),IF(MONTH(tblData[[#This Row],[‎التاريخ]])=12,13,MONTH(tblData[[#This Row],[‎التاريخ]])+1)),"")</calculatedColumnFormula>
    </tableColumn>
    <tableColumn id="14" xr3:uid="{00000000-0010-0000-0000-00000E000000}" name="ربع سنوي " dataDxfId="20">
      <calculatedColumnFormula>IFERROR(TREND($M$6:INDEX($M:$M,ROW(),1),$I$6:INDEX($I:$I,ROW(),1),IF(tblData[[#This Row],[الربع]]=4,5,tblData[[#This Row],[الربع]]+1)),"")</calculatedColumnFormula>
    </tableColumn>
    <tableColumn id="15" xr3:uid="{00000000-0010-0000-0000-00000F000000}" name="سنوي " dataDxfId="19">
      <calculatedColumnFormula>IFERROR(TREND($N$6:INDEX($N:$N,ROW(),1),$J$6:INDEX($J:$J,ROW(),1),tblData[[#This Row],[السة]]+1),"")</calculatedColumnFormula>
    </tableColumn>
  </tableColumns>
  <tableStyleInfo name="Monthly Sales Report Table Style" showFirstColumn="0" showLastColumn="0" showRowStripes="0" showColumnStripes="0"/>
  <extLst>
    <ext xmlns:x14="http://schemas.microsoft.com/office/spreadsheetml/2009/9/main" uri="{504A1905-F514-4f6f-8877-14C23A59335A}">
      <x14:table altText="جدول إدخال البيانات الشهرية" altTextSummary="أدخِل البيانات الشهرية في هذا الجدول مثل التاريخ والشركة والمقدار والمخطط والتكلفة والعائد والشهر وربع السنة والسنة. سيتم حساب البيانات الحالية والمتوقعة لك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amozagy.com/&#1606;&#1605;&#1608;&#1584;&#1580;-&#1578;&#1602;&#1585;&#1610;&#1585;-&#1605;&#1576;&#1610;&#1593;&#1575;&#1578;/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E7D4-F243-40D4-80FE-A46C5108E315}">
  <sheetPr>
    <tabColor theme="4"/>
    <pageSetUpPr autoPageBreaks="0" fitToPage="1"/>
  </sheetPr>
  <dimension ref="B1:Q24"/>
  <sheetViews>
    <sheetView showGridLines="0" rightToLeft="1" zoomScaleNormal="100" workbookViewId="0">
      <selection activeCell="B2" sqref="B2"/>
    </sheetView>
  </sheetViews>
  <sheetFormatPr defaultColWidth="9" defaultRowHeight="17.25" customHeight="1" x14ac:dyDescent="0.25"/>
  <cols>
    <col min="1" max="1" width="1.42578125" style="1" customWidth="1"/>
    <col min="2" max="2" width="9.140625" style="1" customWidth="1"/>
    <col min="3" max="3" width="20.42578125" style="1" customWidth="1"/>
    <col min="4" max="4" width="11.7109375" style="1" customWidth="1"/>
    <col min="5" max="5" width="12.42578125" style="1" customWidth="1"/>
    <col min="6" max="6" width="12" style="1" customWidth="1"/>
    <col min="7" max="7" width="12.5703125" style="1" customWidth="1"/>
    <col min="8" max="8" width="10.7109375" style="1" customWidth="1"/>
    <col min="9" max="9" width="13.140625" style="1" customWidth="1"/>
    <col min="10" max="10" width="9.5703125" style="1" customWidth="1"/>
    <col min="11" max="11" width="9.5703125" style="1" hidden="1" customWidth="1"/>
    <col min="12" max="12" width="12" style="1" customWidth="1"/>
    <col min="13" max="13" width="12.28515625" style="1" customWidth="1"/>
    <col min="14" max="14" width="12.7109375" style="1" customWidth="1"/>
    <col min="15" max="15" width="11.42578125" style="1" customWidth="1"/>
    <col min="16" max="16" width="12.42578125" style="1" customWidth="1"/>
    <col min="17" max="17" width="12.85546875" style="1" customWidth="1"/>
    <col min="18" max="16384" width="9" style="1"/>
  </cols>
  <sheetData>
    <row r="1" spans="2:17" ht="11.25" customHeight="1" x14ac:dyDescent="0.25">
      <c r="J1" s="1">
        <f>365*2</f>
        <v>730</v>
      </c>
    </row>
    <row r="2" spans="2:17" ht="33.75" customHeight="1" x14ac:dyDescent="0.25">
      <c r="B2" s="19" t="s">
        <v>24</v>
      </c>
    </row>
    <row r="3" spans="2:17" ht="17.25" customHeight="1" x14ac:dyDescent="0.15">
      <c r="L3" s="18" t="s">
        <v>0</v>
      </c>
      <c r="M3" s="17"/>
      <c r="N3" s="17"/>
      <c r="O3" s="18" t="s">
        <v>23</v>
      </c>
      <c r="P3" s="17"/>
      <c r="Q3" s="17"/>
    </row>
    <row r="4" spans="2:17" ht="11.25" customHeight="1" x14ac:dyDescent="0.25">
      <c r="L4" s="16"/>
      <c r="M4" s="15"/>
      <c r="N4" s="14"/>
      <c r="O4" s="16"/>
      <c r="P4" s="15"/>
      <c r="Q4" s="14"/>
    </row>
    <row r="5" spans="2:17" ht="17.25" customHeight="1" x14ac:dyDescent="0.25">
      <c r="B5" s="13" t="s">
        <v>22</v>
      </c>
      <c r="C5" s="13" t="s">
        <v>21</v>
      </c>
      <c r="D5" s="12" t="s">
        <v>20</v>
      </c>
      <c r="E5" s="12" t="s">
        <v>19</v>
      </c>
      <c r="F5" s="12" t="s">
        <v>18</v>
      </c>
      <c r="G5" s="12" t="s">
        <v>17</v>
      </c>
      <c r="H5" s="12" t="s">
        <v>16</v>
      </c>
      <c r="I5" s="12" t="s">
        <v>15</v>
      </c>
      <c r="J5" s="12" t="s">
        <v>14</v>
      </c>
      <c r="K5" s="12" t="s">
        <v>13</v>
      </c>
      <c r="L5" s="12" t="s">
        <v>12</v>
      </c>
      <c r="M5" s="12" t="s">
        <v>11</v>
      </c>
      <c r="N5" s="12" t="s">
        <v>10</v>
      </c>
      <c r="O5" s="12" t="s">
        <v>9</v>
      </c>
      <c r="P5" s="12" t="s">
        <v>8</v>
      </c>
      <c r="Q5" s="12" t="s">
        <v>7</v>
      </c>
    </row>
    <row r="6" spans="2:17" ht="17.25" customHeight="1" x14ac:dyDescent="0.25">
      <c r="B6" s="11">
        <f>40657+(365*2)</f>
        <v>41387</v>
      </c>
      <c r="C6" s="10" t="s">
        <v>6</v>
      </c>
      <c r="D6" s="9">
        <v>6400</v>
      </c>
      <c r="E6" s="9">
        <v>6200</v>
      </c>
      <c r="F6" s="9">
        <v>4450</v>
      </c>
      <c r="G6" s="8">
        <f>tblData[[#This Row],[المبلغ]]-tblData[[#This Row],[التكلفة]]</f>
        <v>1950</v>
      </c>
      <c r="H6" s="7">
        <f>DATE(YEAR('إدخال البيانات'!$B6),MONTH('إدخال البيانات'!$B6),1)</f>
        <v>41365</v>
      </c>
      <c r="I6" s="6">
        <f>LOOKUP(MONTH('إدخال البيانات'!$H6),{1,1;2,1;3,1;4,2;5,2;6,2;7,3;8,3;9,3;10,4;11,4;12,4})</f>
        <v>2</v>
      </c>
      <c r="J6" s="5">
        <f>YEAR('إدخال البيانات'!$B6)</f>
        <v>2013</v>
      </c>
      <c r="K6" s="4">
        <f>MONTH(tblData[[#This Row],[‎التاريخ]])</f>
        <v>4</v>
      </c>
      <c r="L6" s="3">
        <f>SUMIFS(tblData[المبلغ],tblData[‎التاريخ],"&gt;="&amp;EOMONTH(tblData[[#This Row],[‎التاريخ]],-1)+1,tblData[‎التاريخ],"&lt;="&amp;EOMONTH(tblData[[#This Row],[‎التاريخ]],0))</f>
        <v>14600</v>
      </c>
      <c r="M6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6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6" s="2">
        <f>IFERROR(TREND($L$6:INDEX($L:$L,ROW(),1),$K$6:INDEX($K:$K,ROW(),1),IF(MONTH(tblData[[#This Row],[‎التاريخ]])=12,13,MONTH(tblData[[#This Row],[‎التاريخ]])+1)),"")</f>
        <v>14600</v>
      </c>
      <c r="P6" s="2">
        <f>IFERROR(TREND($M$6:INDEX($M:$M,ROW(),1),$I$6:INDEX($I:$I,ROW(),1),IF(tblData[[#This Row],[الربع]]=4,5,tblData[[#This Row],[الربع]]+1)),"")</f>
        <v>50800</v>
      </c>
      <c r="Q6" s="2">
        <f>IFERROR(TREND($N$6:INDEX($N:$N,ROW(),1),$J$6:INDEX($J:$J,ROW(),1),tblData[[#This Row],[السة]]+1),"")</f>
        <v>143800</v>
      </c>
    </row>
    <row r="7" spans="2:17" ht="17.25" customHeight="1" x14ac:dyDescent="0.25">
      <c r="B7" s="11">
        <f>40659+(365*2)</f>
        <v>41389</v>
      </c>
      <c r="C7" s="10" t="s">
        <v>1</v>
      </c>
      <c r="D7" s="9">
        <v>8200</v>
      </c>
      <c r="E7" s="9">
        <v>8000</v>
      </c>
      <c r="F7" s="9">
        <v>6400</v>
      </c>
      <c r="G7" s="8">
        <f>tblData[[#This Row],[المبلغ]]-tblData[[#This Row],[التكلفة]]</f>
        <v>1800</v>
      </c>
      <c r="H7" s="7">
        <f>DATE(YEAR('إدخال البيانات'!$B7),MONTH('إدخال البيانات'!$B7),1)</f>
        <v>41365</v>
      </c>
      <c r="I7" s="6">
        <f>LOOKUP(MONTH('إدخال البيانات'!$H7),{1,1;2,1;3,1;4,2;5,2;6,2;7,3;8,3;9,3;10,4;11,4;12,4})</f>
        <v>2</v>
      </c>
      <c r="J7" s="5">
        <f>YEAR('إدخال البيانات'!$B7)</f>
        <v>2013</v>
      </c>
      <c r="K7" s="4">
        <f>MONTH(tblData[[#This Row],[‎التاريخ]])</f>
        <v>4</v>
      </c>
      <c r="L7" s="3">
        <f>SUMIFS(tblData[المبلغ],tblData[‎التاريخ],"&gt;="&amp;EOMONTH(tblData[[#This Row],[‎التاريخ]],-1)+1,tblData[‎التاريخ],"&lt;="&amp;EOMONTH(tblData[[#This Row],[‎التاريخ]],0))</f>
        <v>14600</v>
      </c>
      <c r="M7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7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7" s="2">
        <f>IFERROR(TREND($L$6:INDEX($L:$L,ROW(),1),$K$6:INDEX($K:$K,ROW(),1),IF(MONTH(tblData[[#This Row],[‎التاريخ]])=12,13,MONTH(tblData[[#This Row],[‎التاريخ]])+1)),"")</f>
        <v>14600</v>
      </c>
      <c r="P7" s="2">
        <f>IFERROR(TREND($M$6:INDEX($M:$M,ROW(),1),$I$6:INDEX($I:$I,ROW(),1),IF(tblData[[#This Row],[الربع]]=4,5,tblData[[#This Row],[الربع]]+1)),"")</f>
        <v>50800</v>
      </c>
      <c r="Q7" s="2">
        <f>IFERROR(TREND($N$6:INDEX($N:$N,ROW(),1),$J$6:INDEX($J:$J,ROW(),1),tblData[[#This Row],[السة]]+1),"")</f>
        <v>143800</v>
      </c>
    </row>
    <row r="8" spans="2:17" ht="17.25" customHeight="1" x14ac:dyDescent="0.25">
      <c r="B8" s="11">
        <f>40671+(365*2)</f>
        <v>41401</v>
      </c>
      <c r="C8" s="10" t="s">
        <v>5</v>
      </c>
      <c r="D8" s="9">
        <v>4400</v>
      </c>
      <c r="E8" s="9">
        <v>4200</v>
      </c>
      <c r="F8" s="9">
        <v>2600</v>
      </c>
      <c r="G8" s="8">
        <f>tblData[[#This Row],[المبلغ]]-tblData[[#This Row],[التكلفة]]</f>
        <v>1800</v>
      </c>
      <c r="H8" s="7">
        <f>DATE(YEAR('إدخال البيانات'!$B8),MONTH('إدخال البيانات'!$B8),1)</f>
        <v>41395</v>
      </c>
      <c r="I8" s="6">
        <f>LOOKUP(MONTH('إدخال البيانات'!$H8),{1,1;2,1;3,1;4,2;5,2;6,2;7,3;8,3;9,3;10,4;11,4;12,4})</f>
        <v>2</v>
      </c>
      <c r="J8" s="5">
        <f>YEAR('إدخال البيانات'!$B8)</f>
        <v>2013</v>
      </c>
      <c r="K8" s="4">
        <f>MONTH(tblData[[#This Row],[‎التاريخ]])</f>
        <v>5</v>
      </c>
      <c r="L8" s="3">
        <f>SUMIFS(tblData[المبلغ],tblData[‎التاريخ],"&gt;="&amp;EOMONTH(tblData[[#This Row],[‎التاريخ]],-1)+1,tblData[‎التاريخ],"&lt;="&amp;EOMONTH(tblData[[#This Row],[‎التاريخ]],0))</f>
        <v>21800</v>
      </c>
      <c r="M8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8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8" s="2">
        <f>IFERROR(TREND($L$6:INDEX($L:$L,ROW(),1),$K$6:INDEX($K:$K,ROW(),1),IF(MONTH(tblData[[#This Row],[‎التاريخ]])=12,13,MONTH(tblData[[#This Row],[‎التاريخ]])+1)),"")</f>
        <v>28999.999999999996</v>
      </c>
      <c r="P8" s="2">
        <f>IFERROR(TREND($M$6:INDEX($M:$M,ROW(),1),$I$6:INDEX($I:$I,ROW(),1),IF(tblData[[#This Row],[الربع]]=4,5,tblData[[#This Row],[الربع]]+1)),"")</f>
        <v>50800</v>
      </c>
      <c r="Q8" s="2">
        <f>IFERROR(TREND($N$6:INDEX($N:$N,ROW(),1),$J$6:INDEX($J:$J,ROW(),1),tblData[[#This Row],[السة]]+1),"")</f>
        <v>143800</v>
      </c>
    </row>
    <row r="9" spans="2:17" ht="17.25" customHeight="1" x14ac:dyDescent="0.25">
      <c r="B9" s="11">
        <f>40678+(365*2)</f>
        <v>41408</v>
      </c>
      <c r="C9" s="10" t="s">
        <v>4</v>
      </c>
      <c r="D9" s="9">
        <v>5400</v>
      </c>
      <c r="E9" s="9">
        <v>5500</v>
      </c>
      <c r="F9" s="9">
        <v>4500</v>
      </c>
      <c r="G9" s="8">
        <f>tblData[[#This Row],[المبلغ]]-tblData[[#This Row],[التكلفة]]</f>
        <v>900</v>
      </c>
      <c r="H9" s="7">
        <f>DATE(YEAR('إدخال البيانات'!$B9),MONTH('إدخال البيانات'!$B9),1)</f>
        <v>41395</v>
      </c>
      <c r="I9" s="6">
        <f>LOOKUP(MONTH('إدخال البيانات'!$H9),{1,1;2,1;3,1;4,2;5,2;6,2;7,3;8,3;9,3;10,4;11,4;12,4})</f>
        <v>2</v>
      </c>
      <c r="J9" s="5">
        <f>YEAR('إدخال البيانات'!$B9)</f>
        <v>2013</v>
      </c>
      <c r="K9" s="4">
        <f>MONTH(tblData[[#This Row],[‎التاريخ]])</f>
        <v>5</v>
      </c>
      <c r="L9" s="3">
        <f>SUMIFS(tblData[المبلغ],tblData[‎التاريخ],"&gt;="&amp;EOMONTH(tblData[[#This Row],[‎التاريخ]],-1)+1,tblData[‎التاريخ],"&lt;="&amp;EOMONTH(tblData[[#This Row],[‎التاريخ]],0))</f>
        <v>21800</v>
      </c>
      <c r="M9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9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9" s="2">
        <f>IFERROR(TREND($L$6:INDEX($L:$L,ROW(),1),$K$6:INDEX($K:$K,ROW(),1),IF(MONTH(tblData[[#This Row],[‎التاريخ]])=12,13,MONTH(tblData[[#This Row],[‎التاريخ]])+1)),"")</f>
        <v>29000</v>
      </c>
      <c r="P9" s="2">
        <f>IFERROR(TREND($M$6:INDEX($M:$M,ROW(),1),$I$6:INDEX($I:$I,ROW(),1),IF(tblData[[#This Row],[الربع]]=4,5,tblData[[#This Row],[الربع]]+1)),"")</f>
        <v>50800</v>
      </c>
      <c r="Q9" s="2">
        <f>IFERROR(TREND($N$6:INDEX($N:$N,ROW(),1),$J$6:INDEX($J:$J,ROW(),1),tblData[[#This Row],[السة]]+1),"")</f>
        <v>143800</v>
      </c>
    </row>
    <row r="10" spans="2:17" ht="17.25" customHeight="1" x14ac:dyDescent="0.25">
      <c r="B10" s="11">
        <f>40678+(365*2)</f>
        <v>41408</v>
      </c>
      <c r="C10" s="10" t="s">
        <v>3</v>
      </c>
      <c r="D10" s="9">
        <v>5800</v>
      </c>
      <c r="E10" s="9">
        <v>6000</v>
      </c>
      <c r="F10" s="9">
        <v>4500</v>
      </c>
      <c r="G10" s="8">
        <f>tblData[[#This Row],[المبلغ]]-tblData[[#This Row],[التكلفة]]</f>
        <v>1300</v>
      </c>
      <c r="H10" s="7">
        <f>DATE(YEAR('إدخال البيانات'!$B10),MONTH('إدخال البيانات'!$B10),1)</f>
        <v>41395</v>
      </c>
      <c r="I10" s="6">
        <f>LOOKUP(MONTH('إدخال البيانات'!$H10),{1,1;2,1;3,1;4,2;5,2;6,2;7,3;8,3;9,3;10,4;11,4;12,4})</f>
        <v>2</v>
      </c>
      <c r="J10" s="5">
        <f>YEAR('إدخال البيانات'!$B10)</f>
        <v>2013</v>
      </c>
      <c r="K10" s="4">
        <f>MONTH(tblData[[#This Row],[‎التاريخ]])</f>
        <v>5</v>
      </c>
      <c r="L10" s="3">
        <f>SUMIFS(tblData[المبلغ],tblData[‎التاريخ],"&gt;="&amp;EOMONTH(tblData[[#This Row],[‎التاريخ]],-1)+1,tblData[‎التاريخ],"&lt;="&amp;EOMONTH(tblData[[#This Row],[‎التاريخ]],0))</f>
        <v>21800</v>
      </c>
      <c r="M10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10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0" s="2">
        <f>IFERROR(TREND($L$6:INDEX($L:$L,ROW(),1),$K$6:INDEX($K:$K,ROW(),1),IF(MONTH(tblData[[#This Row],[‎التاريخ]])=12,13,MONTH(tblData[[#This Row],[‎التاريخ]])+1)),"")</f>
        <v>29000</v>
      </c>
      <c r="P10" s="2">
        <f>IFERROR(TREND($M$6:INDEX($M:$M,ROW(),1),$I$6:INDEX($I:$I,ROW(),1),IF(tblData[[#This Row],[الربع]]=4,5,tblData[[#This Row],[الربع]]+1)),"")</f>
        <v>50800</v>
      </c>
      <c r="Q10" s="2">
        <f>IFERROR(TREND($N$6:INDEX($N:$N,ROW(),1),$J$6:INDEX($J:$J,ROW(),1),tblData[[#This Row],[السة]]+1),"")</f>
        <v>143800</v>
      </c>
    </row>
    <row r="11" spans="2:17" ht="17.25" customHeight="1" x14ac:dyDescent="0.25">
      <c r="B11" s="11">
        <f>40693+(365*2)</f>
        <v>41423</v>
      </c>
      <c r="C11" s="10" t="s">
        <v>2</v>
      </c>
      <c r="D11" s="9">
        <v>6200</v>
      </c>
      <c r="E11" s="9">
        <v>6000</v>
      </c>
      <c r="F11" s="9">
        <v>4500</v>
      </c>
      <c r="G11" s="8">
        <f>tblData[[#This Row],[المبلغ]]-tblData[[#This Row],[التكلفة]]</f>
        <v>1700</v>
      </c>
      <c r="H11" s="7">
        <f>DATE(YEAR('إدخال البيانات'!$B11),MONTH('إدخال البيانات'!$B11),1)</f>
        <v>41395</v>
      </c>
      <c r="I11" s="6">
        <f>LOOKUP(MONTH('إدخال البيانات'!$H11),{1,1;2,1;3,1;4,2;5,2;6,2;7,3;8,3;9,3;10,4;11,4;12,4})</f>
        <v>2</v>
      </c>
      <c r="J11" s="5">
        <f>YEAR('إدخال البيانات'!$B11)</f>
        <v>2013</v>
      </c>
      <c r="K11" s="4">
        <f>MONTH(tblData[[#This Row],[‎التاريخ]])</f>
        <v>5</v>
      </c>
      <c r="L11" s="3">
        <f>SUMIFS(tblData[المبلغ],tblData[‎التاريخ],"&gt;="&amp;EOMONTH(tblData[[#This Row],[‎التاريخ]],-1)+1,tblData[‎التاريخ],"&lt;="&amp;EOMONTH(tblData[[#This Row],[‎التاريخ]],0))</f>
        <v>21800</v>
      </c>
      <c r="M11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11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1" s="2">
        <f>IFERROR(TREND($L$6:INDEX($L:$L,ROW(),1),$K$6:INDEX($K:$K,ROW(),1),IF(MONTH(tblData[[#This Row],[‎التاريخ]])=12,13,MONTH(tblData[[#This Row],[‎التاريخ]])+1)),"")</f>
        <v>29000</v>
      </c>
      <c r="P11" s="2">
        <f>IFERROR(TREND($M$6:INDEX($M:$M,ROW(),1),$I$6:INDEX($I:$I,ROW(),1),IF(tblData[[#This Row],[الربع]]=4,5,tblData[[#This Row],[الربع]]+1)),"")</f>
        <v>50800</v>
      </c>
      <c r="Q11" s="2">
        <f>IFERROR(TREND($N$6:INDEX($N:$N,ROW(),1),$J$6:INDEX($J:$J,ROW(),1),tblData[[#This Row],[السة]]+1),"")</f>
        <v>143800</v>
      </c>
    </row>
    <row r="12" spans="2:17" ht="17.25" customHeight="1" x14ac:dyDescent="0.25">
      <c r="B12" s="11">
        <f>40705+(365*2)</f>
        <v>41435</v>
      </c>
      <c r="C12" s="10" t="s">
        <v>6</v>
      </c>
      <c r="D12" s="9">
        <v>6900</v>
      </c>
      <c r="E12" s="9">
        <v>7500</v>
      </c>
      <c r="F12" s="9">
        <v>5400</v>
      </c>
      <c r="G12" s="8">
        <f>tblData[[#This Row],[المبلغ]]-tblData[[#This Row],[التكلفة]]</f>
        <v>1500</v>
      </c>
      <c r="H12" s="7">
        <f>DATE(YEAR('إدخال البيانات'!$B12),MONTH('إدخال البيانات'!$B12),1)</f>
        <v>41426</v>
      </c>
      <c r="I12" s="6">
        <f>LOOKUP(MONTH('إدخال البيانات'!$H12),{1,1;2,1;3,1;4,2;5,2;6,2;7,3;8,3;9,3;10,4;11,4;12,4})</f>
        <v>2</v>
      </c>
      <c r="J12" s="5">
        <f>YEAR('إدخال البيانات'!$B12)</f>
        <v>2013</v>
      </c>
      <c r="K12" s="4">
        <f>MONTH(tblData[[#This Row],[‎التاريخ]])</f>
        <v>6</v>
      </c>
      <c r="L12" s="3">
        <f>SUMIFS(tblData[المبلغ],tblData[‎التاريخ],"&gt;="&amp;EOMONTH(tblData[[#This Row],[‎التاريخ]],-1)+1,tblData[‎التاريخ],"&lt;="&amp;EOMONTH(tblData[[#This Row],[‎التاريخ]],0))</f>
        <v>14400</v>
      </c>
      <c r="M12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12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2" s="2">
        <f>IFERROR(TREND($L$6:INDEX($L:$L,ROW(),1),$K$6:INDEX($K:$K,ROW(),1),IF(MONTH(tblData[[#This Row],[‎التاريخ]])=12,13,MONTH(tblData[[#This Row],[‎التاريخ]])+1)),"")</f>
        <v>21600.000000000004</v>
      </c>
      <c r="P12" s="2">
        <f>IFERROR(TREND($M$6:INDEX($M:$M,ROW(),1),$I$6:INDEX($I:$I,ROW(),1),IF(tblData[[#This Row],[الربع]]=4,5,tblData[[#This Row],[الربع]]+1)),"")</f>
        <v>50800</v>
      </c>
      <c r="Q12" s="2">
        <f>IFERROR(TREND($N$6:INDEX($N:$N,ROW(),1),$J$6:INDEX($J:$J,ROW(),1),tblData[[#This Row],[السة]]+1),"")</f>
        <v>143800</v>
      </c>
    </row>
    <row r="13" spans="2:17" ht="17.25" customHeight="1" x14ac:dyDescent="0.25">
      <c r="B13" s="11">
        <f>40716+(365*2)</f>
        <v>41446</v>
      </c>
      <c r="C13" s="10" t="s">
        <v>1</v>
      </c>
      <c r="D13" s="9">
        <v>7500</v>
      </c>
      <c r="E13" s="9">
        <v>7200</v>
      </c>
      <c r="F13" s="9">
        <v>6500</v>
      </c>
      <c r="G13" s="8">
        <f>tblData[[#This Row],[المبلغ]]-tblData[[#This Row],[التكلفة]]</f>
        <v>1000</v>
      </c>
      <c r="H13" s="7">
        <f>DATE(YEAR('إدخال البيانات'!$B13),MONTH('إدخال البيانات'!$B13),1)</f>
        <v>41426</v>
      </c>
      <c r="I13" s="6">
        <f>LOOKUP(MONTH('إدخال البيانات'!$H13),{1,1;2,1;3,1;4,2;5,2;6,2;7,3;8,3;9,3;10,4;11,4;12,4})</f>
        <v>2</v>
      </c>
      <c r="J13" s="5">
        <f>YEAR('إدخال البيانات'!$B13)</f>
        <v>2013</v>
      </c>
      <c r="K13" s="4">
        <f>MONTH(tblData[[#This Row],[‎التاريخ]])</f>
        <v>6</v>
      </c>
      <c r="L13" s="3">
        <f>SUMIFS(tblData[المبلغ],tblData[‎التاريخ],"&gt;="&amp;EOMONTH(tblData[[#This Row],[‎التاريخ]],-1)+1,tblData[‎التاريخ],"&lt;="&amp;EOMONTH(tblData[[#This Row],[‎التاريخ]],0))</f>
        <v>14400</v>
      </c>
      <c r="M13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50800</v>
      </c>
      <c r="N13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3" s="2">
        <f>IFERROR(TREND($L$6:INDEX($L:$L,ROW(),1),$K$6:INDEX($K:$K,ROW(),1),IF(MONTH(tblData[[#This Row],[‎التاريخ]])=12,13,MONTH(tblData[[#This Row],[‎التاريخ]])+1)),"")</f>
        <v>17950</v>
      </c>
      <c r="P13" s="2">
        <f>IFERROR(TREND($M$6:INDEX($M:$M,ROW(),1),$I$6:INDEX($I:$I,ROW(),1),IF(tblData[[#This Row],[الربع]]=4,5,tblData[[#This Row],[الربع]]+1)),"")</f>
        <v>50800</v>
      </c>
      <c r="Q13" s="2">
        <f>IFERROR(TREND($N$6:INDEX($N:$N,ROW(),1),$J$6:INDEX($J:$J,ROW(),1),tblData[[#This Row],[السة]]+1),"")</f>
        <v>143800</v>
      </c>
    </row>
    <row r="14" spans="2:17" ht="17.25" customHeight="1" x14ac:dyDescent="0.25">
      <c r="B14" s="11">
        <f>40731+(365*2)</f>
        <v>41461</v>
      </c>
      <c r="C14" s="10" t="s">
        <v>5</v>
      </c>
      <c r="D14" s="9">
        <v>8700</v>
      </c>
      <c r="E14" s="9">
        <v>8500</v>
      </c>
      <c r="F14" s="9">
        <v>7250</v>
      </c>
      <c r="G14" s="8">
        <f>tblData[[#This Row],[المبلغ]]-tblData[[#This Row],[التكلفة]]</f>
        <v>1450</v>
      </c>
      <c r="H14" s="7">
        <f>DATE(YEAR('إدخال البيانات'!$B14),MONTH('إدخال البيانات'!$B14),1)</f>
        <v>41456</v>
      </c>
      <c r="I14" s="6">
        <f>LOOKUP(MONTH('إدخال البيانات'!$H14),{1,1;2,1;3,1;4,2;5,2;6,2;7,3;8,3;9,3;10,4;11,4;12,4})</f>
        <v>3</v>
      </c>
      <c r="J14" s="5">
        <f>YEAR('إدخال البيانات'!$B14)</f>
        <v>2013</v>
      </c>
      <c r="K14" s="4">
        <f>MONTH(tblData[[#This Row],[‎التاريخ]])</f>
        <v>7</v>
      </c>
      <c r="L14" s="3">
        <f>SUMIFS(tblData[المبلغ],tblData[‎التاريخ],"&gt;="&amp;EOMONTH(tblData[[#This Row],[‎التاريخ]],-1)+1,tblData[‎التاريخ],"&lt;="&amp;EOMONTH(tblData[[#This Row],[‎التاريخ]],0))</f>
        <v>8700</v>
      </c>
      <c r="M14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4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4" s="2">
        <f>IFERROR(TREND($L$6:INDEX($L:$L,ROW(),1),$K$6:INDEX($K:$K,ROW(),1),IF(MONTH(tblData[[#This Row],[‎التاريخ]])=12,13,MONTH(tblData[[#This Row],[‎التاريخ]])+1)),"")</f>
        <v>10776.470588235294</v>
      </c>
      <c r="P14" s="2">
        <f>IFERROR(TREND($M$6:INDEX($M:$M,ROW(),1),$I$6:INDEX($I:$I,ROW(),1),IF(tblData[[#This Row],[الربع]]=4,5,tblData[[#This Row],[الربع]]+1)),"")</f>
        <v>47400</v>
      </c>
      <c r="Q14" s="2">
        <f>IFERROR(TREND($N$6:INDEX($N:$N,ROW(),1),$J$6:INDEX($J:$J,ROW(),1),tblData[[#This Row],[السة]]+1),"")</f>
        <v>143800</v>
      </c>
    </row>
    <row r="15" spans="2:17" ht="17.25" customHeight="1" x14ac:dyDescent="0.25">
      <c r="B15" s="11">
        <f>40761+(365*2)</f>
        <v>41491</v>
      </c>
      <c r="C15" s="10" t="s">
        <v>4</v>
      </c>
      <c r="D15" s="9">
        <v>8500</v>
      </c>
      <c r="E15" s="9">
        <v>8300</v>
      </c>
      <c r="F15" s="9">
        <v>7100</v>
      </c>
      <c r="G15" s="8">
        <f>tblData[[#This Row],[المبلغ]]-tblData[[#This Row],[التكلفة]]</f>
        <v>1400</v>
      </c>
      <c r="H15" s="7">
        <f>DATE(YEAR('إدخال البيانات'!$B15),MONTH('إدخال البيانات'!$B15),1)</f>
        <v>41487</v>
      </c>
      <c r="I15" s="6">
        <f>LOOKUP(MONTH('إدخال البيانات'!$H15),{1,1;2,1;3,1;4,2;5,2;6,2;7,3;8,3;9,3;10,4;11,4;12,4})</f>
        <v>3</v>
      </c>
      <c r="J15" s="5">
        <f>YEAR('إدخال البيانات'!$B15)</f>
        <v>2013</v>
      </c>
      <c r="K15" s="4">
        <f>MONTH(tblData[[#This Row],[‎التاريخ]])</f>
        <v>8</v>
      </c>
      <c r="L15" s="3">
        <f>SUMIFS(tblData[المبلغ],tblData[‎التاريخ],"&gt;="&amp;EOMONTH(tblData[[#This Row],[‎التاريخ]],-1)+1,tblData[‎التاريخ],"&lt;="&amp;EOMONTH(tblData[[#This Row],[‎التاريخ]],0))</f>
        <v>16400</v>
      </c>
      <c r="M15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5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5" s="2">
        <f>IFERROR(TREND($L$6:INDEX($L:$L,ROW(),1),$K$6:INDEX($K:$K,ROW(),1),IF(MONTH(tblData[[#This Row],[‎التاريخ]])=12,13,MONTH(tblData[[#This Row],[‎التاريخ]])+1)),"")</f>
        <v>12455.862068965516</v>
      </c>
      <c r="P15" s="2">
        <f>IFERROR(TREND($M$6:INDEX($M:$M,ROW(),1),$I$6:INDEX($I:$I,ROW(),1),IF(tblData[[#This Row],[الربع]]=4,5,tblData[[#This Row],[الربع]]+1)),"")</f>
        <v>47400</v>
      </c>
      <c r="Q15" s="2">
        <f>IFERROR(TREND($N$6:INDEX($N:$N,ROW(),1),$J$6:INDEX($J:$J,ROW(),1),tblData[[#This Row],[السة]]+1),"")</f>
        <v>143800</v>
      </c>
    </row>
    <row r="16" spans="2:17" ht="17.25" customHeight="1" x14ac:dyDescent="0.25">
      <c r="B16" s="11">
        <f>40775+(365*2)</f>
        <v>41505</v>
      </c>
      <c r="C16" s="10" t="s">
        <v>3</v>
      </c>
      <c r="D16" s="9">
        <v>7900</v>
      </c>
      <c r="E16" s="9">
        <v>7700</v>
      </c>
      <c r="F16" s="9">
        <v>6600</v>
      </c>
      <c r="G16" s="8">
        <f>tblData[[#This Row],[المبلغ]]-tblData[[#This Row],[التكلفة]]</f>
        <v>1300</v>
      </c>
      <c r="H16" s="7">
        <f>DATE(YEAR('إدخال البيانات'!$B16),MONTH('إدخال البيانات'!$B16),1)</f>
        <v>41487</v>
      </c>
      <c r="I16" s="6">
        <f>LOOKUP(MONTH('إدخال البيانات'!$H16),{1,1;2,1;3,1;4,2;5,2;6,2;7,3;8,3;9,3;10,4;11,4;12,4})</f>
        <v>3</v>
      </c>
      <c r="J16" s="5">
        <f>YEAR('إدخال البيانات'!$B16)</f>
        <v>2013</v>
      </c>
      <c r="K16" s="4">
        <f>MONTH(tblData[[#This Row],[‎التاريخ]])</f>
        <v>8</v>
      </c>
      <c r="L16" s="3">
        <f>SUMIFS(tblData[المبلغ],tblData[‎التاريخ],"&gt;="&amp;EOMONTH(tblData[[#This Row],[‎التاريخ]],-1)+1,tblData[‎التاريخ],"&lt;="&amp;EOMONTH(tblData[[#This Row],[‎التاريخ]],0))</f>
        <v>16400</v>
      </c>
      <c r="M16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6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6" s="2">
        <f>IFERROR(TREND($L$6:INDEX($L:$L,ROW(),1),$K$6:INDEX($K:$K,ROW(),1),IF(MONTH(tblData[[#This Row],[‎التاريخ]])=12,13,MONTH(tblData[[#This Row],[‎التاريخ]])+1)),"")</f>
        <v>13667.567567567567</v>
      </c>
      <c r="P16" s="2">
        <f>IFERROR(TREND($M$6:INDEX($M:$M,ROW(),1),$I$6:INDEX($I:$I,ROW(),1),IF(tblData[[#This Row],[الربع]]=4,5,tblData[[#This Row],[الربع]]+1)),"")</f>
        <v>47400.000000000007</v>
      </c>
      <c r="Q16" s="2">
        <f>IFERROR(TREND($N$6:INDEX($N:$N,ROW(),1),$J$6:INDEX($J:$J,ROW(),1),tblData[[#This Row],[السة]]+1),"")</f>
        <v>143800</v>
      </c>
    </row>
    <row r="17" spans="2:17" ht="17.25" customHeight="1" x14ac:dyDescent="0.25">
      <c r="B17" s="11">
        <f>40791+(365*2)</f>
        <v>41521</v>
      </c>
      <c r="C17" s="10" t="s">
        <v>2</v>
      </c>
      <c r="D17" s="9">
        <v>9100</v>
      </c>
      <c r="E17" s="9">
        <v>8900</v>
      </c>
      <c r="F17" s="9">
        <v>7900</v>
      </c>
      <c r="G17" s="8">
        <f>tblData[[#This Row],[المبلغ]]-tblData[[#This Row],[التكلفة]]</f>
        <v>1200</v>
      </c>
      <c r="H17" s="7">
        <f>DATE(YEAR('إدخال البيانات'!$B17),MONTH('إدخال البيانات'!$B17),1)</f>
        <v>41518</v>
      </c>
      <c r="I17" s="6">
        <f>LOOKUP(MONTH('إدخال البيانات'!$H17),{1,1;2,1;3,1;4,2;5,2;6,2;7,3;8,3;9,3;10,4;11,4;12,4})</f>
        <v>3</v>
      </c>
      <c r="J17" s="5">
        <f>YEAR('إدخال البيانات'!$B17)</f>
        <v>2013</v>
      </c>
      <c r="K17" s="4">
        <f>MONTH(tblData[[#This Row],[‎التاريخ]])</f>
        <v>9</v>
      </c>
      <c r="L17" s="3">
        <f>SUMIFS(tblData[المبلغ],tblData[‎التاريخ],"&gt;="&amp;EOMONTH(tblData[[#This Row],[‎التاريخ]],-1)+1,tblData[‎التاريخ],"&lt;="&amp;EOMONTH(tblData[[#This Row],[‎التاريخ]],0))</f>
        <v>24000</v>
      </c>
      <c r="M17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7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7" s="2">
        <f>IFERROR(TREND($L$6:INDEX($L:$L,ROW(),1),$K$6:INDEX($K:$K,ROW(),1),IF(MONTH(tblData[[#This Row],[‎التاريخ]])=12,13,MONTH(tblData[[#This Row],[‎التاريخ]])+1)),"")</f>
        <v>17651.666666666668</v>
      </c>
      <c r="P17" s="2">
        <f>IFERROR(TREND($M$6:INDEX($M:$M,ROW(),1),$I$6:INDEX($I:$I,ROW(),1),IF(tblData[[#This Row],[الربع]]=4,5,tblData[[#This Row],[الربع]]+1)),"")</f>
        <v>47400</v>
      </c>
      <c r="Q17" s="2">
        <f>IFERROR(TREND($N$6:INDEX($N:$N,ROW(),1),$J$6:INDEX($J:$J,ROW(),1),tblData[[#This Row],[السة]]+1),"")</f>
        <v>143800</v>
      </c>
    </row>
    <row r="18" spans="2:17" ht="17.25" customHeight="1" x14ac:dyDescent="0.25">
      <c r="B18" s="11">
        <f>40807+(365*2)</f>
        <v>41537</v>
      </c>
      <c r="C18" s="10" t="s">
        <v>1</v>
      </c>
      <c r="D18" s="9">
        <v>5600</v>
      </c>
      <c r="E18" s="9">
        <v>5800</v>
      </c>
      <c r="F18" s="9">
        <v>4500</v>
      </c>
      <c r="G18" s="8">
        <f>tblData[[#This Row],[المبلغ]]-tblData[[#This Row],[التكلفة]]</f>
        <v>1100</v>
      </c>
      <c r="H18" s="7">
        <f>DATE(YEAR('إدخال البيانات'!$B18),MONTH('إدخال البيانات'!$B18),1)</f>
        <v>41518</v>
      </c>
      <c r="I18" s="6">
        <f>LOOKUP(MONTH('إدخال البيانات'!$H18),{1,1;2,1;3,1;4,2;5,2;6,2;7,3;8,3;9,3;10,4;11,4;12,4})</f>
        <v>3</v>
      </c>
      <c r="J18" s="5">
        <f>YEAR('إدخال البيانات'!$B18)</f>
        <v>2013</v>
      </c>
      <c r="K18" s="4">
        <f>MONTH(tblData[[#This Row],[‎التاريخ]])</f>
        <v>9</v>
      </c>
      <c r="L18" s="3">
        <f>SUMIFS(tblData[المبلغ],tblData[‎التاريخ],"&gt;="&amp;EOMONTH(tblData[[#This Row],[‎التاريخ]],-1)+1,tblData[‎التاريخ],"&lt;="&amp;EOMONTH(tblData[[#This Row],[‎التاريخ]],0))</f>
        <v>24000</v>
      </c>
      <c r="M18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8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8" s="2">
        <f>IFERROR(TREND($L$6:INDEX($L:$L,ROW(),1),$K$6:INDEX($K:$K,ROW(),1),IF(MONTH(tblData[[#This Row],[‎التاريخ]])=12,13,MONTH(tblData[[#This Row],[‎التاريخ]])+1)),"")</f>
        <v>19877.911646586344</v>
      </c>
      <c r="P18" s="2">
        <f>IFERROR(TREND($M$6:INDEX($M:$M,ROW(),1),$I$6:INDEX($I:$I,ROW(),1),IF(tblData[[#This Row],[الربع]]=4,5,tblData[[#This Row],[الربع]]+1)),"")</f>
        <v>47400</v>
      </c>
      <c r="Q18" s="2">
        <f>IFERROR(TREND($N$6:INDEX($N:$N,ROW(),1),$J$6:INDEX($J:$J,ROW(),1),tblData[[#This Row],[السة]]+1),"")</f>
        <v>143800</v>
      </c>
    </row>
    <row r="19" spans="2:17" ht="17.25" customHeight="1" x14ac:dyDescent="0.25">
      <c r="B19" s="11">
        <f>40812+(365*2)</f>
        <v>41542</v>
      </c>
      <c r="C19" s="10" t="s">
        <v>5</v>
      </c>
      <c r="D19" s="9">
        <v>9300</v>
      </c>
      <c r="E19" s="9">
        <v>9100</v>
      </c>
      <c r="F19" s="9">
        <v>7500</v>
      </c>
      <c r="G19" s="8">
        <f>tblData[[#This Row],[المبلغ]]-tblData[[#This Row],[التكلفة]]</f>
        <v>1800</v>
      </c>
      <c r="H19" s="7">
        <f>DATE(YEAR('إدخال البيانات'!$B19),MONTH('إدخال البيانات'!$B19),1)</f>
        <v>41518</v>
      </c>
      <c r="I19" s="6">
        <f>LOOKUP(MONTH('إدخال البيانات'!$H19),{1,1;2,1;3,1;4,2;5,2;6,2;7,3;8,3;9,3;10,4;11,4;12,4})</f>
        <v>3</v>
      </c>
      <c r="J19" s="5">
        <f>YEAR('إدخال البيانات'!$B19)</f>
        <v>2013</v>
      </c>
      <c r="K19" s="4">
        <f>MONTH(tblData[[#This Row],[‎التاريخ]])</f>
        <v>9</v>
      </c>
      <c r="L19" s="3">
        <f>SUMIFS(tblData[المبلغ],tblData[‎التاريخ],"&gt;="&amp;EOMONTH(tblData[[#This Row],[‎التاريخ]],-1)+1,tblData[‎التاريخ],"&lt;="&amp;EOMONTH(tblData[[#This Row],[‎التاريخ]],0))</f>
        <v>24000</v>
      </c>
      <c r="M19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49100</v>
      </c>
      <c r="N19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19" s="2">
        <f>IFERROR(TREND($L$6:INDEX($L:$L,ROW(),1),$K$6:INDEX($K:$K,ROW(),1),IF(MONTH(tblData[[#This Row],[‎التاريخ]])=12,13,MONTH(tblData[[#This Row],[‎التاريخ]])+1)),"")</f>
        <v>21138.050314465407</v>
      </c>
      <c r="P19" s="2">
        <f>IFERROR(TREND($M$6:INDEX($M:$M,ROW(),1),$I$6:INDEX($I:$I,ROW(),1),IF(tblData[[#This Row],[الربع]]=4,5,tblData[[#This Row],[الربع]]+1)),"")</f>
        <v>47400</v>
      </c>
      <c r="Q19" s="2">
        <f>IFERROR(TREND($N$6:INDEX($N:$N,ROW(),1),$J$6:INDEX($J:$J,ROW(),1),tblData[[#This Row],[السة]]+1),"")</f>
        <v>143800</v>
      </c>
    </row>
    <row r="20" spans="2:17" ht="17.25" customHeight="1" x14ac:dyDescent="0.25">
      <c r="B20" s="11">
        <f>40832+(365*2)</f>
        <v>41562</v>
      </c>
      <c r="C20" s="10" t="s">
        <v>4</v>
      </c>
      <c r="D20" s="9">
        <v>8800</v>
      </c>
      <c r="E20" s="9">
        <v>9350</v>
      </c>
      <c r="F20" s="9">
        <v>7100</v>
      </c>
      <c r="G20" s="8">
        <f>tblData[[#This Row],[المبلغ]]-tblData[[#This Row],[التكلفة]]</f>
        <v>1700</v>
      </c>
      <c r="H20" s="7">
        <f>DATE(YEAR('إدخال البيانات'!$B20),MONTH('إدخال البيانات'!$B20),1)</f>
        <v>41548</v>
      </c>
      <c r="I20" s="6">
        <f>LOOKUP(MONTH('إدخال البيانات'!$H20),{1,1;2,1;3,1;4,2;5,2;6,2;7,3;8,3;9,3;10,4;11,4;12,4})</f>
        <v>4</v>
      </c>
      <c r="J20" s="5">
        <f>YEAR('إدخال البيانات'!$B20)</f>
        <v>2013</v>
      </c>
      <c r="K20" s="4">
        <f>MONTH(tblData[[#This Row],[‎التاريخ]])</f>
        <v>10</v>
      </c>
      <c r="L20" s="3">
        <f>SUMIFS(tblData[المبلغ],tblData[‎التاريخ],"&gt;="&amp;EOMONTH(tblData[[#This Row],[‎التاريخ]],-1)+1,tblData[‎التاريخ],"&lt;="&amp;EOMONTH(tblData[[#This Row],[‎التاريخ]],0))</f>
        <v>8800</v>
      </c>
      <c r="M20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43900</v>
      </c>
      <c r="N20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20" s="2">
        <f>IFERROR(TREND($L$6:INDEX($L:$L,ROW(),1),$K$6:INDEX($K:$K,ROW(),1),IF(MONTH(tblData[[#This Row],[‎التاريخ]])=12,13,MONTH(tblData[[#This Row],[‎التاريخ]])+1)),"")</f>
        <v>17951.744186046511</v>
      </c>
      <c r="P20" s="2">
        <f>IFERROR(TREND($M$6:INDEX($M:$M,ROW(),1),$I$6:INDEX($I:$I,ROW(),1),IF(tblData[[#This Row],[الربع]]=4,5,tblData[[#This Row],[الربع]]+1)),"")</f>
        <v>43258.139534883725</v>
      </c>
      <c r="Q20" s="2">
        <f>IFERROR(TREND($N$6:INDEX($N:$N,ROW(),1),$J$6:INDEX($J:$J,ROW(),1),tblData[[#This Row],[السة]]+1),"")</f>
        <v>143800</v>
      </c>
    </row>
    <row r="21" spans="2:17" ht="17.25" customHeight="1" x14ac:dyDescent="0.25">
      <c r="B21" s="11">
        <f>40853+(365*2)</f>
        <v>41583</v>
      </c>
      <c r="C21" s="10" t="s">
        <v>3</v>
      </c>
      <c r="D21" s="9">
        <v>9100</v>
      </c>
      <c r="E21" s="9">
        <v>9200</v>
      </c>
      <c r="F21" s="9">
        <v>7850</v>
      </c>
      <c r="G21" s="8">
        <f>tblData[[#This Row],[المبلغ]]-tblData[[#This Row],[التكلفة]]</f>
        <v>1250</v>
      </c>
      <c r="H21" s="7">
        <f>DATE(YEAR('إدخال البيانات'!$B21),MONTH('إدخال البيانات'!$B21),1)</f>
        <v>41579</v>
      </c>
      <c r="I21" s="6">
        <f>LOOKUP(MONTH('إدخال البيانات'!$H21),{1,1;2,1;3,1;4,2;5,2;6,2;7,3;8,3;9,3;10,4;11,4;12,4})</f>
        <v>4</v>
      </c>
      <c r="J21" s="5">
        <f>YEAR('إدخال البيانات'!$B21)</f>
        <v>2013</v>
      </c>
      <c r="K21" s="4">
        <f>MONTH(tblData[[#This Row],[‎التاريخ]])</f>
        <v>11</v>
      </c>
      <c r="L21" s="3">
        <f>SUMIFS(tblData[المبلغ],tblData[‎التاريخ],"&gt;="&amp;EOMONTH(tblData[[#This Row],[‎التاريخ]],-1)+1,tblData[‎التاريخ],"&lt;="&amp;EOMONTH(tblData[[#This Row],[‎التاريخ]],0))</f>
        <v>25600</v>
      </c>
      <c r="M21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43900</v>
      </c>
      <c r="N21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21" s="2">
        <f>IFERROR(TREND($L$6:INDEX($L:$L,ROW(),1),$K$6:INDEX($K:$K,ROW(),1),IF(MONTH(tblData[[#This Row],[‎التاريخ]])=12,13,MONTH(tblData[[#This Row],[‎التاريخ]])+1)),"")</f>
        <v>20556.130108423687</v>
      </c>
      <c r="P21" s="2">
        <f>IFERROR(TREND($M$6:INDEX($M:$M,ROW(),1),$I$6:INDEX($I:$I,ROW(),1),IF(tblData[[#This Row],[الربع]]=4,5,tblData[[#This Row],[الربع]]+1)),"")</f>
        <v>42312.903225806447</v>
      </c>
      <c r="Q21" s="2">
        <f>IFERROR(TREND($N$6:INDEX($N:$N,ROW(),1),$J$6:INDEX($J:$J,ROW(),1),tblData[[#This Row],[السة]]+1),"")</f>
        <v>143800</v>
      </c>
    </row>
    <row r="22" spans="2:17" ht="17.25" customHeight="1" x14ac:dyDescent="0.25">
      <c r="B22" s="11">
        <f>40874+(365*2)</f>
        <v>41604</v>
      </c>
      <c r="C22" s="10" t="s">
        <v>2</v>
      </c>
      <c r="D22" s="9">
        <v>9000</v>
      </c>
      <c r="E22" s="9">
        <v>10000</v>
      </c>
      <c r="F22" s="9">
        <v>7575</v>
      </c>
      <c r="G22" s="8">
        <f>tblData[[#This Row],[المبلغ]]-tblData[[#This Row],[التكلفة]]</f>
        <v>1425</v>
      </c>
      <c r="H22" s="7">
        <f>DATE(YEAR('إدخال البيانات'!$B22),MONTH('إدخال البيانات'!$B22),1)</f>
        <v>41579</v>
      </c>
      <c r="I22" s="6">
        <f>LOOKUP(MONTH('إدخال البيانات'!$H22),{1,1;2,1;3,1;4,2;5,2;6,2;7,3;8,3;9,3;10,4;11,4;12,4})</f>
        <v>4</v>
      </c>
      <c r="J22" s="5">
        <f>YEAR('إدخال البيانات'!$B22)</f>
        <v>2013</v>
      </c>
      <c r="K22" s="4">
        <f>MONTH(tblData[[#This Row],[‎التاريخ]])</f>
        <v>11</v>
      </c>
      <c r="L22" s="3">
        <f>SUMIFS(tblData[المبلغ],tblData[‎التاريخ],"&gt;="&amp;EOMONTH(tblData[[#This Row],[‎التاريخ]],-1)+1,tblData[‎التاريخ],"&lt;="&amp;EOMONTH(tblData[[#This Row],[‎التاريخ]],0))</f>
        <v>25600</v>
      </c>
      <c r="M22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43900</v>
      </c>
      <c r="N22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22" s="2">
        <f>IFERROR(TREND($L$6:INDEX($L:$L,ROW(),1),$K$6:INDEX($K:$K,ROW(),1),IF(MONTH(tblData[[#This Row],[‎التاريخ]])=12,13,MONTH(tblData[[#This Row],[‎التاريخ]])+1)),"")</f>
        <v>21997.139141742522</v>
      </c>
      <c r="P22" s="2">
        <f>IFERROR(TREND($M$6:INDEX($M:$M,ROW(),1),$I$6:INDEX($I:$I,ROW(),1),IF(tblData[[#This Row],[الربع]]=4,5,tblData[[#This Row],[الربع]]+1)),"")</f>
        <v>41811.111111111109</v>
      </c>
      <c r="Q22" s="2">
        <f>IFERROR(TREND($N$6:INDEX($N:$N,ROW(),1),$J$6:INDEX($J:$J,ROW(),1),tblData[[#This Row],[السة]]+1),"")</f>
        <v>143800</v>
      </c>
    </row>
    <row r="23" spans="2:17" ht="17.25" customHeight="1" x14ac:dyDescent="0.25">
      <c r="B23" s="11">
        <f>40878+(365*2)</f>
        <v>41608</v>
      </c>
      <c r="C23" s="10" t="s">
        <v>2</v>
      </c>
      <c r="D23" s="9">
        <v>7500</v>
      </c>
      <c r="E23" s="9">
        <v>8000</v>
      </c>
      <c r="F23" s="9">
        <v>5850</v>
      </c>
      <c r="G23" s="8">
        <f>tblData[[#This Row],[المبلغ]]-tblData[[#This Row],[التكلفة]]</f>
        <v>1650</v>
      </c>
      <c r="H23" s="7">
        <f>DATE(YEAR('إدخال البيانات'!$B23),MONTH('إدخال البيانات'!$B23),1)</f>
        <v>41579</v>
      </c>
      <c r="I23" s="6">
        <f>LOOKUP(MONTH('إدخال البيانات'!$H23),{1,1;2,1;3,1;4,2;5,2;6,2;7,3;8,3;9,3;10,4;11,4;12,4})</f>
        <v>4</v>
      </c>
      <c r="J23" s="5">
        <f>YEAR('إدخال البيانات'!$B23)</f>
        <v>2013</v>
      </c>
      <c r="K23" s="4">
        <f>MONTH(tblData[[#This Row],[‎التاريخ]])</f>
        <v>11</v>
      </c>
      <c r="L23" s="3">
        <f>SUMIFS(tblData[المبلغ],tblData[‎التاريخ],"&gt;="&amp;EOMONTH(tblData[[#This Row],[‎التاريخ]],-1)+1,tblData[‎التاريخ],"&lt;="&amp;EOMONTH(tblData[[#This Row],[‎التاريخ]],0))</f>
        <v>25600</v>
      </c>
      <c r="M23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43900</v>
      </c>
      <c r="N23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23" s="2">
        <f>IFERROR(TREND($L$6:INDEX($L:$L,ROW(),1),$K$6:INDEX($K:$K,ROW(),1),IF(MONTH(tblData[[#This Row],[‎التاريخ]])=12,13,MONTH(tblData[[#This Row],[‎التاريخ]])+1)),"")</f>
        <v>22917.634523175278</v>
      </c>
      <c r="P23" s="2">
        <f>IFERROR(TREND($M$6:INDEX($M:$M,ROW(),1),$I$6:INDEX($I:$I,ROW(),1),IF(tblData[[#This Row],[الربع]]=4,5,tblData[[#This Row],[الربع]]+1)),"")</f>
        <v>41500</v>
      </c>
      <c r="Q23" s="2">
        <f>IFERROR(TREND($N$6:INDEX($N:$N,ROW(),1),$J$6:INDEX($J:$J,ROW(),1),tblData[[#This Row],[السة]]+1),"")</f>
        <v>143800</v>
      </c>
    </row>
    <row r="24" spans="2:17" ht="17.25" customHeight="1" x14ac:dyDescent="0.25">
      <c r="B24" s="11">
        <f>40889+(365*2)</f>
        <v>41619</v>
      </c>
      <c r="C24" s="10" t="s">
        <v>1</v>
      </c>
      <c r="D24" s="9">
        <v>9500</v>
      </c>
      <c r="E24" s="9">
        <v>9200</v>
      </c>
      <c r="F24" s="9">
        <v>8500</v>
      </c>
      <c r="G24" s="8">
        <f>tblData[[#This Row],[المبلغ]]-tblData[[#This Row],[التكلفة]]</f>
        <v>1000</v>
      </c>
      <c r="H24" s="7">
        <f>DATE(YEAR('إدخال البيانات'!$B24),MONTH('إدخال البيانات'!$B24),1)</f>
        <v>41609</v>
      </c>
      <c r="I24" s="6">
        <f>LOOKUP(MONTH('إدخال البيانات'!$H24),{1,1;2,1;3,1;4,2;5,2;6,2;7,3;8,3;9,3;10,4;11,4;12,4})</f>
        <v>4</v>
      </c>
      <c r="J24" s="5">
        <f>YEAR('إدخال البيانات'!$B24)</f>
        <v>2013</v>
      </c>
      <c r="K24" s="4">
        <f>MONTH(tblData[[#This Row],[‎التاريخ]])</f>
        <v>12</v>
      </c>
      <c r="L24" s="3">
        <f>SUMIFS(tblData[المبلغ],tblData[‎التاريخ],"&gt;="&amp;EOMONTH(tblData[[#This Row],[‎التاريخ]],-1)+1,tblData[‎التاريخ],"&lt;="&amp;EOMONTH(tblData[[#This Row],[‎التاريخ]],0))</f>
        <v>9500</v>
      </c>
      <c r="M24" s="3">
        <f>SUMIFS(tblData[المبلغ],tblData[‎التاريخ],"&gt;="&amp;DATE(YEAR(tblData[[#This Row],[‎التاريخ]]),1,1),tblData[‎التاريخ],"&lt;="&amp;DATE(YEAR(tblData[[#This Row],[‎التاريخ]]),12,31),tblData[الربع],tblData[[#This Row],[الربع]])</f>
        <v>43900</v>
      </c>
      <c r="N24" s="3">
        <f>SUMIFS(tblData[المبلغ],tblData[‎التاريخ],"&gt;="&amp;DATE(YEAR(tblData[[#This Row],[‎التاريخ]]),1,1),tblData[‎التاريخ],"&lt;="&amp;DATE(YEAR(tblData[[#This Row],[‎التاريخ]]),12,31))</f>
        <v>143800</v>
      </c>
      <c r="O24" s="2">
        <f>IFERROR(TREND($L$6:INDEX($L:$L,ROW(),1),$K$6:INDEX($K:$K,ROW(),1),IF(MONTH(tblData[[#This Row],[‎التاريخ]])=12,13,MONTH(tblData[[#This Row],[‎التاريخ]])+1)),"")</f>
        <v>20504.314720812181</v>
      </c>
      <c r="P24" s="2">
        <f>IFERROR(TREND($M$6:INDEX($M:$M,ROW(),1),$I$6:INDEX($I:$I,ROW(),1),IF(tblData[[#This Row],[الربع]]=4,5,tblData[[#This Row],[الربع]]+1)),"")</f>
        <v>41288.23529411765</v>
      </c>
      <c r="Q24" s="2">
        <f>IFERROR(TREND($N$6:INDEX($N:$N,ROW(),1),$J$6:INDEX($J:$J,ROW(),1),tblData[[#This Row],[السة]]+1),"")</f>
        <v>143800</v>
      </c>
    </row>
  </sheetData>
  <printOptions horizontalCentered="1"/>
  <pageMargins left="0.25" right="0.25" top="0.75" bottom="0.75" header="0.3" footer="0.3"/>
  <pageSetup scale="74" fitToHeight="0" orientation="landscape" horizont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5AE2-0623-4C52-AC4F-A3CA838758A4}">
  <sheetPr>
    <tabColor theme="5"/>
    <pageSetUpPr autoPageBreaks="0" fitToPage="1"/>
  </sheetPr>
  <dimension ref="B1:F29"/>
  <sheetViews>
    <sheetView showGridLines="0" rightToLeft="1" tabSelected="1" topLeftCell="A19" zoomScaleNormal="100" workbookViewId="0">
      <selection activeCell="K7" sqref="K7"/>
    </sheetView>
  </sheetViews>
  <sheetFormatPr defaultColWidth="9" defaultRowHeight="17.25" customHeight="1" x14ac:dyDescent="0.25"/>
  <cols>
    <col min="1" max="1" width="1.42578125" style="1" customWidth="1"/>
    <col min="2" max="3" width="12.42578125" style="1" customWidth="1"/>
    <col min="4" max="4" width="14.28515625" style="20" bestFit="1" customWidth="1"/>
    <col min="5" max="5" width="29.42578125" style="20" customWidth="1"/>
    <col min="6" max="6" width="20.28515625" style="20" customWidth="1"/>
    <col min="7" max="16384" width="9" style="1"/>
  </cols>
  <sheetData>
    <row r="1" spans="2:6" ht="11.25" customHeight="1" x14ac:dyDescent="0.25"/>
    <row r="2" spans="2:6" ht="23.25" x14ac:dyDescent="0.25">
      <c r="B2" s="54" t="s">
        <v>54</v>
      </c>
      <c r="C2" s="54"/>
      <c r="D2" s="54"/>
      <c r="E2" s="53"/>
      <c r="F2" s="1"/>
    </row>
    <row r="5" spans="2:6" ht="12.75" x14ac:dyDescent="0.25">
      <c r="B5" s="27" t="s">
        <v>15</v>
      </c>
      <c r="C5" s="27" t="s">
        <v>16</v>
      </c>
      <c r="D5" s="27" t="s">
        <v>21</v>
      </c>
      <c r="E5" s="26" t="s">
        <v>29</v>
      </c>
      <c r="F5" s="21"/>
    </row>
    <row r="6" spans="2:6" ht="11.25" x14ac:dyDescent="0.25">
      <c r="B6" s="24">
        <v>2</v>
      </c>
      <c r="C6" s="25">
        <v>41365</v>
      </c>
      <c r="D6" s="23" t="s">
        <v>1</v>
      </c>
      <c r="E6" s="22">
        <v>8200</v>
      </c>
      <c r="F6" s="21"/>
    </row>
    <row r="7" spans="2:6" ht="11.25" x14ac:dyDescent="0.25">
      <c r="B7" s="23"/>
      <c r="C7" s="23"/>
      <c r="D7" s="23" t="s">
        <v>6</v>
      </c>
      <c r="E7" s="22">
        <v>6400</v>
      </c>
      <c r="F7" s="21"/>
    </row>
    <row r="8" spans="2:6" ht="11.25" x14ac:dyDescent="0.25">
      <c r="B8" s="23"/>
      <c r="C8" s="25">
        <v>41395</v>
      </c>
      <c r="D8" s="23" t="s">
        <v>4</v>
      </c>
      <c r="E8" s="22">
        <v>5400</v>
      </c>
      <c r="F8" s="21"/>
    </row>
    <row r="9" spans="2:6" ht="11.25" x14ac:dyDescent="0.25">
      <c r="B9" s="23"/>
      <c r="C9" s="23"/>
      <c r="D9" s="23" t="s">
        <v>2</v>
      </c>
      <c r="E9" s="22">
        <v>6200</v>
      </c>
      <c r="F9" s="21"/>
    </row>
    <row r="10" spans="2:6" ht="11.25" x14ac:dyDescent="0.25">
      <c r="B10" s="23"/>
      <c r="C10" s="23"/>
      <c r="D10" s="23" t="s">
        <v>3</v>
      </c>
      <c r="E10" s="22">
        <v>5800</v>
      </c>
      <c r="F10" s="21"/>
    </row>
    <row r="11" spans="2:6" ht="11.25" x14ac:dyDescent="0.25">
      <c r="B11" s="23"/>
      <c r="C11" s="23"/>
      <c r="D11" s="23" t="s">
        <v>5</v>
      </c>
      <c r="E11" s="22">
        <v>4400</v>
      </c>
      <c r="F11" s="21"/>
    </row>
    <row r="12" spans="2:6" ht="11.25" x14ac:dyDescent="0.25">
      <c r="B12" s="23"/>
      <c r="C12" s="25">
        <v>41426</v>
      </c>
      <c r="D12" s="23" t="s">
        <v>1</v>
      </c>
      <c r="E12" s="22">
        <v>7500</v>
      </c>
      <c r="F12" s="21"/>
    </row>
    <row r="13" spans="2:6" ht="11.25" x14ac:dyDescent="0.25">
      <c r="B13" s="23"/>
      <c r="C13" s="23"/>
      <c r="D13" s="23" t="s">
        <v>6</v>
      </c>
      <c r="E13" s="22">
        <v>6900</v>
      </c>
      <c r="F13" s="21"/>
    </row>
    <row r="14" spans="2:6" ht="11.25" x14ac:dyDescent="0.25">
      <c r="B14" s="24" t="s">
        <v>28</v>
      </c>
      <c r="C14" s="23"/>
      <c r="D14" s="23"/>
      <c r="E14" s="22">
        <v>50800</v>
      </c>
      <c r="F14" s="21"/>
    </row>
    <row r="15" spans="2:6" ht="11.25" x14ac:dyDescent="0.25">
      <c r="B15" s="24">
        <v>3</v>
      </c>
      <c r="C15" s="25">
        <v>41456</v>
      </c>
      <c r="D15" s="23" t="s">
        <v>5</v>
      </c>
      <c r="E15" s="22">
        <v>8700</v>
      </c>
      <c r="F15" s="21"/>
    </row>
    <row r="16" spans="2:6" ht="11.25" x14ac:dyDescent="0.25">
      <c r="B16" s="23"/>
      <c r="C16" s="25">
        <v>41487</v>
      </c>
      <c r="D16" s="23" t="s">
        <v>4</v>
      </c>
      <c r="E16" s="22">
        <v>8500</v>
      </c>
      <c r="F16" s="21"/>
    </row>
    <row r="17" spans="2:6" ht="11.25" x14ac:dyDescent="0.25">
      <c r="B17" s="23"/>
      <c r="C17" s="23"/>
      <c r="D17" s="23" t="s">
        <v>3</v>
      </c>
      <c r="E17" s="22">
        <v>7900</v>
      </c>
      <c r="F17" s="21"/>
    </row>
    <row r="18" spans="2:6" ht="11.25" x14ac:dyDescent="0.25">
      <c r="B18" s="23"/>
      <c r="C18" s="25">
        <v>41518</v>
      </c>
      <c r="D18" s="23" t="s">
        <v>2</v>
      </c>
      <c r="E18" s="22">
        <v>9100</v>
      </c>
      <c r="F18" s="21"/>
    </row>
    <row r="19" spans="2:6" ht="11.25" x14ac:dyDescent="0.25">
      <c r="B19" s="23"/>
      <c r="C19" s="23"/>
      <c r="D19" s="23" t="s">
        <v>5</v>
      </c>
      <c r="E19" s="22">
        <v>9300</v>
      </c>
      <c r="F19" s="21"/>
    </row>
    <row r="20" spans="2:6" ht="11.25" x14ac:dyDescent="0.25">
      <c r="B20" s="23"/>
      <c r="C20" s="23"/>
      <c r="D20" s="23" t="s">
        <v>1</v>
      </c>
      <c r="E20" s="22">
        <v>5600</v>
      </c>
      <c r="F20" s="21"/>
    </row>
    <row r="21" spans="2:6" ht="11.25" x14ac:dyDescent="0.25">
      <c r="B21" s="24" t="s">
        <v>27</v>
      </c>
      <c r="C21" s="23"/>
      <c r="D21" s="23"/>
      <c r="E21" s="22">
        <v>49100</v>
      </c>
      <c r="F21" s="21"/>
    </row>
    <row r="22" spans="2:6" ht="11.25" x14ac:dyDescent="0.25">
      <c r="B22" s="24">
        <v>4</v>
      </c>
      <c r="C22" s="25">
        <v>41548</v>
      </c>
      <c r="D22" s="23" t="s">
        <v>4</v>
      </c>
      <c r="E22" s="22">
        <v>8800</v>
      </c>
      <c r="F22" s="21"/>
    </row>
    <row r="23" spans="2:6" ht="11.25" x14ac:dyDescent="0.25">
      <c r="B23" s="23"/>
      <c r="C23" s="25">
        <v>41579</v>
      </c>
      <c r="D23" s="23" t="s">
        <v>2</v>
      </c>
      <c r="E23" s="22">
        <v>16500</v>
      </c>
      <c r="F23" s="21"/>
    </row>
    <row r="24" spans="2:6" ht="11.25" x14ac:dyDescent="0.25">
      <c r="B24" s="23"/>
      <c r="C24" s="23"/>
      <c r="D24" s="23" t="s">
        <v>3</v>
      </c>
      <c r="E24" s="22">
        <v>9100</v>
      </c>
      <c r="F24" s="21"/>
    </row>
    <row r="25" spans="2:6" ht="11.25" x14ac:dyDescent="0.25">
      <c r="B25" s="23"/>
      <c r="C25" s="25">
        <v>41609</v>
      </c>
      <c r="D25" s="23" t="s">
        <v>1</v>
      </c>
      <c r="E25" s="22">
        <v>9500</v>
      </c>
      <c r="F25" s="21"/>
    </row>
    <row r="26" spans="2:6" ht="11.25" x14ac:dyDescent="0.25">
      <c r="B26" s="24" t="s">
        <v>26</v>
      </c>
      <c r="C26" s="23"/>
      <c r="D26" s="23"/>
      <c r="E26" s="22">
        <v>43900</v>
      </c>
      <c r="F26" s="21"/>
    </row>
    <row r="27" spans="2:6" ht="11.25" x14ac:dyDescent="0.25">
      <c r="B27" s="24" t="s">
        <v>25</v>
      </c>
      <c r="C27" s="23"/>
      <c r="D27" s="23"/>
      <c r="E27" s="22">
        <v>143800</v>
      </c>
      <c r="F27" s="21"/>
    </row>
    <row r="28" spans="2:6" ht="11.25" x14ac:dyDescent="0.25">
      <c r="B28" s="21"/>
      <c r="C28" s="21"/>
      <c r="D28" s="21"/>
      <c r="E28" s="21"/>
      <c r="F28" s="21"/>
    </row>
    <row r="29" spans="2:6" ht="17.25" customHeight="1" x14ac:dyDescent="0.25">
      <c r="D29" s="1"/>
      <c r="E29" s="1"/>
      <c r="F29" s="1"/>
    </row>
  </sheetData>
  <mergeCells count="1">
    <mergeCell ref="B2:D2"/>
  </mergeCells>
  <conditionalFormatting sqref="E1 E30:E1048553 E3:E4">
    <cfRule type="expression" dxfId="18" priority="3">
      <formula>(LEN($E1)&gt;0)*(LEN($D2)&gt;0)</formula>
    </cfRule>
  </conditionalFormatting>
  <conditionalFormatting sqref="D1 D26:D1048576 F30:F1048576 D3:D5">
    <cfRule type="expression" dxfId="17" priority="2">
      <formula>(LEN($D1)&gt;0)*(LEN($C1)=0)</formula>
    </cfRule>
  </conditionalFormatting>
  <conditionalFormatting sqref="F1:F5">
    <cfRule type="expression" dxfId="16" priority="1">
      <formula>(LEN($D1)&gt;0)*(LEN($C1)=0)</formula>
    </cfRule>
  </conditionalFormatting>
  <conditionalFormatting sqref="E1048554:E1048576">
    <cfRule type="expression" dxfId="15" priority="4">
      <formula>(LEN($E1048554)&gt;0)*(LEN($D1)&gt;0)</formula>
    </cfRule>
  </conditionalFormatting>
  <hyperlinks>
    <hyperlink ref="B2" r:id="rId2" xr:uid="{736A258E-723A-4DC9-B644-7126CC7EC50C}"/>
  </hyperlinks>
  <printOptions horizontalCentered="1"/>
  <pageMargins left="0.25" right="0.25" top="0.75" bottom="0.75" header="0.3" footer="0.3"/>
  <pageSetup fitToHeight="0" orientation="portrait" horizont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2F0B-229F-4EF5-90A6-21BB6F2C7346}">
  <sheetPr>
    <tabColor theme="7"/>
    <pageSetUpPr autoPageBreaks="0" fitToPage="1"/>
  </sheetPr>
  <dimension ref="B2:J43"/>
  <sheetViews>
    <sheetView showGridLines="0" rightToLeft="1" zoomScaleNormal="100" workbookViewId="0"/>
  </sheetViews>
  <sheetFormatPr defaultColWidth="9" defaultRowHeight="10.5" x14ac:dyDescent="0.25"/>
  <cols>
    <col min="1" max="1" width="1.42578125" style="1" customWidth="1"/>
    <col min="2" max="2" width="17.28515625" style="1" customWidth="1"/>
    <col min="3" max="6" width="12" style="1" customWidth="1"/>
    <col min="7" max="7" width="25" style="1" customWidth="1"/>
    <col min="8" max="8" width="25.42578125" style="1" customWidth="1"/>
    <col min="9" max="9" width="24.42578125" style="1" customWidth="1"/>
    <col min="10" max="10" width="13.7109375" style="1" customWidth="1"/>
    <col min="11" max="16384" width="9" style="1"/>
  </cols>
  <sheetData>
    <row r="2" spans="2:10" ht="27" x14ac:dyDescent="0.25">
      <c r="B2" s="19" t="s">
        <v>53</v>
      </c>
    </row>
    <row r="3" spans="2:10" ht="27.75" customHeight="1" x14ac:dyDescent="0.2">
      <c r="B3" s="52" t="str">
        <f ca="1">"تاريخ اليوم: "&amp;TEXT(TODAY(),"d mmmm yyyy")</f>
        <v>تاريخ اليوم: 30 July 2023</v>
      </c>
      <c r="D3" s="51">
        <f ca="1">--TRIM(RIGHT(B3,LEN(B3)-FIND(":",B3)))</f>
        <v>45137</v>
      </c>
    </row>
    <row r="4" spans="2:10" ht="15" customHeight="1" x14ac:dyDescent="0.25"/>
    <row r="5" spans="2:10" ht="18.75" customHeight="1" x14ac:dyDescent="0.25">
      <c r="B5" s="50" t="s">
        <v>52</v>
      </c>
      <c r="C5" s="49" t="s">
        <v>51</v>
      </c>
      <c r="D5" s="49" t="s">
        <v>19</v>
      </c>
      <c r="E5" s="49" t="s">
        <v>50</v>
      </c>
      <c r="F5" s="49" t="s">
        <v>49</v>
      </c>
      <c r="G5" s="49" t="s">
        <v>48</v>
      </c>
      <c r="H5" s="49" t="s">
        <v>47</v>
      </c>
      <c r="I5" s="49" t="s">
        <v>46</v>
      </c>
      <c r="J5" s="49" t="s">
        <v>45</v>
      </c>
    </row>
    <row r="6" spans="2:10" ht="15" customHeight="1" x14ac:dyDescent="0.25">
      <c r="B6" s="48" t="s">
        <v>44</v>
      </c>
      <c r="C6" s="46">
        <f ca="1">COUNTIF('إدخال البيانات'!$B$6:$B$24,"&gt;="&amp;DATE(fYear,MONTH(fDate),1))-COUNTIF('إدخال البيانات'!$B$6:$B$24,"&gt;"&amp;EOMONTH(fDate,0))</f>
        <v>19</v>
      </c>
      <c r="D6" s="45"/>
      <c r="E6" s="47"/>
      <c r="F6" s="44"/>
      <c r="G6" s="46">
        <f ca="1">COUNTIF(tblData[‎التاريخ],"&lt;="&amp;EOMONTH(fDate,0))</f>
        <v>19</v>
      </c>
      <c r="H6" s="45"/>
      <c r="I6" s="45"/>
      <c r="J6" s="44"/>
    </row>
    <row r="7" spans="2:10" ht="15" customHeight="1" x14ac:dyDescent="0.25">
      <c r="B7" s="42" t="s">
        <v>36</v>
      </c>
      <c r="C7" s="40">
        <f ca="1">SUMIF(tblData[‎التاريخ],"&gt;="&amp;DATE(fYear,MONTH(fDate),1),tblData[المبلغ])-SUMIF(tblData[‎التاريخ],"&gt;"&amp;EOMONTH(fDate,0),tblData[المبلغ])</f>
        <v>143800</v>
      </c>
      <c r="D7" s="40">
        <f ca="1">SUMIF('إدخال البيانات'!$B$6:$B$24,"&gt;="&amp;DATE(fYear,MONTH(fDate),1),'إدخال البيانات'!$E$6:$E$24)-SUMIF('إدخال البيانات'!$B$6:$B$24,"&gt;"&amp;EOMONTH(fDate,0),'إدخال البيانات'!$E$6:$E$24)</f>
        <v>144650</v>
      </c>
      <c r="E7" s="40">
        <f ca="1">D7-C7</f>
        <v>850</v>
      </c>
      <c r="F7" s="40">
        <f ca="1">IFERROR(D7/C7,"-")</f>
        <v>1.0059109874826146</v>
      </c>
      <c r="G7" s="40">
        <f ca="1">SUMIF(tblData[‎التاريخ],"&lt;="&amp;EOMONTH(fDate,0),tblData[المبلغ])</f>
        <v>143800</v>
      </c>
      <c r="H7" s="40">
        <f ca="1">SUMIF(tblData[‎التاريخ],"&lt;="&amp;EOMONTH(fDate,0),tblData[المخطط])</f>
        <v>144650</v>
      </c>
      <c r="I7" s="40">
        <f ca="1">H7-G7</f>
        <v>850</v>
      </c>
      <c r="J7" s="43">
        <f ca="1">IFERROR(H7/G7,"")</f>
        <v>1.0059109874826146</v>
      </c>
    </row>
    <row r="8" spans="2:10" ht="15" customHeight="1" x14ac:dyDescent="0.25">
      <c r="B8" s="42" t="s">
        <v>43</v>
      </c>
      <c r="C8" s="40">
        <f ca="1">(SUMIF(tblData[‎التاريخ],"&gt;="&amp;DATE(fYear,MONTH(fDate),1),tblData[المبلغ])-SUMIF(tblData[‎التاريخ],"&gt;"&amp;EOMONTH(fDate,0),tblData[المبلغ]))-(SUMIF(tblData[‎التاريخ],"&gt;="&amp;DATE(fYear,MONTH(fDate),1),tblData[التكلفة])-SUMIF(tblData[‎التاريخ],"&gt;"&amp;EOMONTH(fDate,0),tblData[التكلفة]))</f>
        <v>27225</v>
      </c>
      <c r="D8" s="40">
        <f ca="1">(SUMIF('إدخال البيانات'!$B$6:$B$24,"&gt;="&amp;DATE(fYear,MONTH(fDate),1),'إدخال البيانات'!$E$6:$E$24)-SUMIF('إدخال البيانات'!$B$6:$B$24,"&gt;"&amp;EOMONTH(fDate,0),'إدخال البيانات'!$E$6:$E$24))-(SUMIF('إدخال البيانات'!$B$6:$B$24,"&gt;="&amp;DATE(fYear,MONTH(fDate),1),'إدخال البيانات'!$F$6:$F$24)-SUMIF('إدخال البيانات'!$B$6:$B$24,"&gt;"&amp;EOMONTH(fDate,0),'إدخال البيانات'!$F$6:$F$24))</f>
        <v>28075</v>
      </c>
      <c r="E8" s="40">
        <f ca="1">D8-C8</f>
        <v>850</v>
      </c>
      <c r="F8" s="40">
        <f ca="1">IFERROR(D8/C8,"-")</f>
        <v>1.0312213039485767</v>
      </c>
      <c r="G8" s="40">
        <f ca="1">SUMIF('إدخال البيانات'!$B$6:$B$24,"&lt;="&amp;EOMONTH(fDate,0),'إدخال البيانات'!$F$6:$F$24)</f>
        <v>116575</v>
      </c>
      <c r="H8" s="40">
        <f ca="1">SUMIF(tblData[‎التاريخ],"&lt;="&amp;EOMONTH(fDate,0),tblData[التكلفة])</f>
        <v>116575</v>
      </c>
      <c r="I8" s="40">
        <f ca="1">H8-G8</f>
        <v>0</v>
      </c>
      <c r="J8" s="43">
        <f ca="1">IFERROR(H8/G8,"")</f>
        <v>1</v>
      </c>
    </row>
    <row r="9" spans="2:10" ht="15" customHeight="1" x14ac:dyDescent="0.25">
      <c r="B9" s="42" t="s">
        <v>42</v>
      </c>
      <c r="C9" s="41">
        <f ca="1">IFERROR(C8/C7,"-")</f>
        <v>0.18932545201668985</v>
      </c>
      <c r="D9" s="41">
        <f ca="1">IFERROR(D8/D7,"-")</f>
        <v>0.194089180781196</v>
      </c>
      <c r="E9" s="41"/>
      <c r="F9" s="41">
        <f ca="1">IFERROR(F8/F7,"-")</f>
        <v>1.0251615866422767</v>
      </c>
      <c r="G9" s="41">
        <f ca="1">IFERROR(G8/G7,"")</f>
        <v>0.81067454798331018</v>
      </c>
      <c r="H9" s="41">
        <f ca="1">IFERROR(H8/H7,"")</f>
        <v>0.80591081921880403</v>
      </c>
      <c r="I9" s="41"/>
      <c r="J9" s="43">
        <f ca="1">IFERROR(J8/J7,"")</f>
        <v>0.99412374697545813</v>
      </c>
    </row>
    <row r="10" spans="2:10" ht="15" customHeight="1" x14ac:dyDescent="0.25">
      <c r="B10" s="42" t="s">
        <v>41</v>
      </c>
      <c r="C10" s="40">
        <f ca="1">COUNTIF(tblData[‎التاريخ],"&gt;="&amp;DATE(fYear,MONTH(fDate),1))-COUNTIF(tblData[‎التاريخ],"&gt;"&amp;EOMONTH(fDate,0))</f>
        <v>19</v>
      </c>
      <c r="D10" s="39"/>
      <c r="E10" s="39"/>
      <c r="F10" s="39"/>
      <c r="G10" s="40">
        <f ca="1">COUNTIF(tblData[‎التاريخ],"&gt;"&amp;EOMONTH(fDate,0))</f>
        <v>0</v>
      </c>
      <c r="H10" s="39"/>
      <c r="I10" s="39"/>
      <c r="J10" s="38"/>
    </row>
    <row r="11" spans="2:10" ht="15" customHeight="1" x14ac:dyDescent="0.25">
      <c r="B11" s="42" t="s">
        <v>40</v>
      </c>
      <c r="C11" s="41">
        <f ca="1">IFERROR(C7/C10,"-")</f>
        <v>7568.4210526315792</v>
      </c>
      <c r="D11" s="39"/>
      <c r="E11" s="39"/>
      <c r="F11" s="39"/>
      <c r="G11" s="40" t="str">
        <f ca="1">IFERROR(G7/G10,"-")</f>
        <v>-</v>
      </c>
      <c r="H11" s="39"/>
      <c r="I11" s="39"/>
      <c r="J11" s="38"/>
    </row>
    <row r="12" spans="2:10" ht="27" customHeight="1" x14ac:dyDescent="0.25">
      <c r="B12" s="37"/>
      <c r="C12" s="37"/>
      <c r="D12" s="37"/>
      <c r="E12" s="37"/>
      <c r="F12" s="37"/>
      <c r="G12" s="37"/>
      <c r="H12" s="37"/>
      <c r="I12" s="37"/>
      <c r="J12" s="37"/>
    </row>
    <row r="13" spans="2:10" ht="15.75" customHeight="1" x14ac:dyDescent="0.2">
      <c r="B13" s="35" t="s">
        <v>23</v>
      </c>
      <c r="C13" s="35"/>
      <c r="D13" s="35" t="s">
        <v>39</v>
      </c>
      <c r="E13" s="36"/>
      <c r="F13" s="35" t="s">
        <v>38</v>
      </c>
      <c r="G13" s="36"/>
      <c r="H13" s="35"/>
      <c r="I13" s="35" t="s">
        <v>37</v>
      </c>
      <c r="J13" s="34"/>
    </row>
    <row r="14" spans="2:10" x14ac:dyDescent="0.15">
      <c r="B14" s="33" t="s">
        <v>36</v>
      </c>
      <c r="C14" s="33"/>
      <c r="D14" s="30">
        <f ca="1">TREND(tblData[شهري],tblData[MONTH NUM (HIDE)],IF(MONTH(fDate)=12,13,MONTH(fDate)+1))</f>
        <v>18750.296108291033</v>
      </c>
      <c r="E14" s="32"/>
      <c r="F14" s="30">
        <f ca="1">TREND(tblData[ربع سنوي],tblData[MONTH NUM (HIDE)],IF(MONTH(fDate)=12,13,MONTH(fDate)+1))</f>
        <v>48082.064297800345</v>
      </c>
      <c r="G14" s="32"/>
      <c r="H14" s="31"/>
      <c r="I14" s="30">
        <f ca="1">TREND(tblData[سنوي],tblData[MONTH NUM (HIDE)],IF(MONTH(fDate)=12,13,MONTH(fDate)+1))</f>
        <v>143800</v>
      </c>
      <c r="J14" s="29"/>
    </row>
    <row r="15" spans="2:10" ht="27" customHeight="1" x14ac:dyDescent="0.25"/>
    <row r="16" spans="2:10" s="28" customFormat="1" ht="27" customHeight="1" x14ac:dyDescent="0.25">
      <c r="B16" s="28" t="s">
        <v>35</v>
      </c>
    </row>
    <row r="30" spans="2:7" s="28" customFormat="1" ht="27" customHeight="1" x14ac:dyDescent="0.25">
      <c r="B30" s="28" t="s">
        <v>34</v>
      </c>
      <c r="G30" s="28" t="s">
        <v>33</v>
      </c>
    </row>
    <row r="38" spans="2:10" s="28" customFormat="1" ht="27" customHeight="1" x14ac:dyDescent="0.25">
      <c r="B38" s="28" t="s">
        <v>32</v>
      </c>
      <c r="G38" s="28" t="s">
        <v>31</v>
      </c>
    </row>
    <row r="43" spans="2:10" x14ac:dyDescent="0.25">
      <c r="J43" s="1" t="s">
        <v>30</v>
      </c>
    </row>
  </sheetData>
  <conditionalFormatting sqref="E2">
    <cfRule type="expression" dxfId="2" priority="3">
      <formula>(LEN($E2)&gt;0)*(LEN($D3)&gt;0)</formula>
    </cfRule>
  </conditionalFormatting>
  <conditionalFormatting sqref="D2">
    <cfRule type="expression" dxfId="1" priority="2">
      <formula>(LEN($D2)&gt;0)*(LEN($C2)=0)</formula>
    </cfRule>
  </conditionalFormatting>
  <conditionalFormatting sqref="F2">
    <cfRule type="expression" dxfId="0" priority="1">
      <formula>(LEN($D2)&gt;0)*(LEN($C2)=0)</formula>
    </cfRule>
  </conditionalFormatting>
  <printOptions horizontalCentered="1" verticalCentered="1"/>
  <pageMargins left="0.25" right="0.25" top="0.75" bottom="0.75" header="0.3" footer="0.3"/>
  <pageSetup scale="88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إدخال البيانات</vt:lpstr>
      <vt:lpstr>تقرير المبيعات</vt:lpstr>
      <vt:lpstr>التنبؤ بالمبيعات</vt:lpstr>
      <vt:lpstr>fDate</vt:lpstr>
      <vt:lpstr>fDay</vt:lpstr>
      <vt:lpstr>fMonth</vt:lpstr>
      <vt:lpstr>ForecastDate</vt:lpstr>
      <vt:lpstr>fYear</vt:lpstr>
      <vt:lpstr>'التنبؤ بالمبيعات'!Print_Area</vt:lpstr>
      <vt:lpstr>'تقرير المبيعات'!Print_Titles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7otweb</dc:creator>
  <cp:lastModifiedBy>egypt</cp:lastModifiedBy>
  <dcterms:created xsi:type="dcterms:W3CDTF">2015-06-05T18:17:20Z</dcterms:created>
  <dcterms:modified xsi:type="dcterms:W3CDTF">2023-07-30T01:28:25Z</dcterms:modified>
</cp:coreProperties>
</file>